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9240" activeTab="0"/>
  </bookViews>
  <sheets>
    <sheet name="HCC Calculator" sheetId="1" r:id="rId1"/>
    <sheet name="HCC Map" sheetId="2" r:id="rId2"/>
    <sheet name="RMS Tides" sheetId="3" r:id="rId3"/>
  </sheets>
  <definedNames>
    <definedName name="_xlnm.Print_Area" localSheetId="0">'HCC Calculator'!$A$1:$M$32</definedName>
    <definedName name="_xlnm.Print_Area" localSheetId="1">'HCC Map'!$A$1:$Q$38</definedName>
  </definedNames>
  <calcPr fullCalcOnLoad="1" iterate="1" iterateCount="100" iterateDelta="1000"/>
</workbook>
</file>

<file path=xl/comments1.xml><?xml version="1.0" encoding="utf-8"?>
<comments xmlns="http://schemas.openxmlformats.org/spreadsheetml/2006/main">
  <authors>
    <author>Ian W</author>
  </authors>
  <commentList>
    <comment ref="A37" authorId="0">
      <text>
        <r>
          <rPr>
            <b/>
            <sz val="9"/>
            <rFont val="Tahoma"/>
            <family val="2"/>
          </rPr>
          <t>Ian W:</t>
        </r>
        <r>
          <rPr>
            <sz val="9"/>
            <rFont val="Tahoma"/>
            <family val="2"/>
          </rPr>
          <t xml:space="preserve">
negative = outgoing flow</t>
        </r>
      </text>
    </comment>
    <comment ref="A36" authorId="0">
      <text>
        <r>
          <rPr>
            <sz val="9"/>
            <rFont val="Tahoma"/>
            <family val="2"/>
          </rPr>
          <t xml:space="preserve">Upper river has reduced tidal effect (ie doesn't get full high or full low)
</t>
        </r>
      </text>
    </comment>
    <comment ref="AD67" authorId="0">
      <text>
        <r>
          <rPr>
            <b/>
            <sz val="9"/>
            <rFont val="Tahoma"/>
            <family val="2"/>
          </rPr>
          <t>Ian W:</t>
        </r>
        <r>
          <rPr>
            <sz val="9"/>
            <rFont val="Tahoma"/>
            <family val="2"/>
          </rPr>
          <t xml:space="preserve">
a bit random. Underlying figure aimed to generate a max flow rate (eg 2km/h vs 2.5km/h). Then Adjust for diff btw high vs low tide.  Adjust for 12 vs 11 intrervening 1/2 hr periods. </t>
        </r>
      </text>
    </comment>
    <comment ref="AD35" authorId="0">
      <text>
        <r>
          <rPr>
            <b/>
            <sz val="9"/>
            <rFont val="Tahoma"/>
            <family val="2"/>
          </rPr>
          <t>Ian W:</t>
        </r>
        <r>
          <rPr>
            <sz val="9"/>
            <rFont val="Tahoma"/>
            <family val="2"/>
          </rPr>
          <t xml:space="preserve">
a bit random. Underlying figure aimed to generate a max flow rate (eg 2km/h vs 2.5km/h). Then Adjust for diff btw high vs low tide.  Adjust for 12 vs 11 intrervening 1/2 hr periods. </t>
        </r>
      </text>
    </comment>
    <comment ref="G11" authorId="0">
      <text>
        <r>
          <rPr>
            <b/>
            <sz val="9"/>
            <rFont val="Tahoma"/>
            <family val="2"/>
          </rPr>
          <t>Ian W:</t>
        </r>
        <r>
          <rPr>
            <sz val="9"/>
            <rFont val="Tahoma"/>
            <family val="2"/>
          </rPr>
          <t xml:space="preserve">
1/2 hour:Type in =0.5/24
1hours: Type in 
=1/24
</t>
        </r>
      </text>
    </comment>
    <comment ref="M11" authorId="0">
      <text>
        <r>
          <rPr>
            <b/>
            <sz val="9"/>
            <rFont val="Tahoma"/>
            <family val="2"/>
          </rPr>
          <t>Ian W:</t>
        </r>
        <r>
          <rPr>
            <sz val="9"/>
            <rFont val="Tahoma"/>
            <family val="2"/>
          </rPr>
          <t xml:space="preserve">
1/2 hour:Type in =0.5/24
1hours: Type in 
=1/24
</t>
        </r>
      </text>
    </comment>
    <comment ref="E25" authorId="0">
      <text>
        <r>
          <rPr>
            <b/>
            <sz val="9"/>
            <rFont val="Tahoma"/>
            <family val="2"/>
          </rPr>
          <t>Ian W:</t>
        </r>
        <r>
          <rPr>
            <sz val="9"/>
            <rFont val="Tahoma"/>
            <family val="2"/>
          </rPr>
          <t xml:space="preserve">
1/2 hour:Type in =0.5/24
1hours: Type in 
=1/24
</t>
        </r>
      </text>
    </comment>
  </commentList>
</comments>
</file>

<file path=xl/sharedStrings.xml><?xml version="1.0" encoding="utf-8"?>
<sst xmlns="http://schemas.openxmlformats.org/spreadsheetml/2006/main" count="84" uniqueCount="47">
  <si>
    <t>Start</t>
  </si>
  <si>
    <t>Cattai - A</t>
  </si>
  <si>
    <t>B</t>
  </si>
  <si>
    <t>C</t>
  </si>
  <si>
    <t>Sackville - D</t>
  </si>
  <si>
    <t>E</t>
  </si>
  <si>
    <t>F</t>
  </si>
  <si>
    <t>G</t>
  </si>
  <si>
    <t>H</t>
  </si>
  <si>
    <t>Wisemans - I</t>
  </si>
  <si>
    <t>J</t>
  </si>
  <si>
    <t>K</t>
  </si>
  <si>
    <t>L</t>
  </si>
  <si>
    <t>M</t>
  </si>
  <si>
    <t>N</t>
  </si>
  <si>
    <t>O</t>
  </si>
  <si>
    <t>P</t>
  </si>
  <si>
    <t>Q</t>
  </si>
  <si>
    <t>S</t>
  </si>
  <si>
    <t>T</t>
  </si>
  <si>
    <t>Finish</t>
  </si>
  <si>
    <t>Distance</t>
  </si>
  <si>
    <t>Total Distance Travelled</t>
  </si>
  <si>
    <t>Distance from last stop</t>
  </si>
  <si>
    <t>Effective Speed from last waypoint</t>
  </si>
  <si>
    <t>ETA</t>
  </si>
  <si>
    <t>STOP time</t>
  </si>
  <si>
    <t>Paddling Speed (still water)</t>
  </si>
  <si>
    <t>Total Race Time (hh: mm)</t>
  </si>
  <si>
    <t>Average speed (cumulative)</t>
  </si>
  <si>
    <t>Average Speed (incl stops)</t>
  </si>
  <si>
    <t>http://www.rms.nsw.gov.au/documents/maritime/usingwaterways/tides-weather/tide-tables-2015-16.pdf</t>
  </si>
  <si>
    <t>Fort Denison</t>
  </si>
  <si>
    <t>Add one hour for daylight saving!!!</t>
  </si>
  <si>
    <t>Increase/reduction in normal tide flow --&gt;</t>
  </si>
  <si>
    <t xml:space="preserve">freshwater flow ---&gt;  </t>
  </si>
  <si>
    <t>Column Number</t>
  </si>
  <si>
    <t>Tidal flow (+ve = beneficial)</t>
  </si>
  <si>
    <t>12ths rule (adjusted for 12 x 30mins)</t>
  </si>
  <si>
    <t>Flow rate (% of tide movement)</t>
  </si>
  <si>
    <t>Flow (say) inkm/h</t>
  </si>
  <si>
    <t>12ths rule (adjusted for 13 x 30 minute slots)</t>
  </si>
  <si>
    <t>% of tide movement this 1/2 hour</t>
  </si>
  <si>
    <t>Time taken from last waypoint (h:mm)</t>
  </si>
  <si>
    <t>Baseline (to generate the avg tidal flow at comfy level)</t>
  </si>
  <si>
    <t>Total elapsed</t>
  </si>
  <si>
    <t>LCRK's HCC Calculator - with 24-25 October Tides and Tidal Flows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</si>
</sst>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.0_-&quot;k&quot;;\-* #,##0.0_-;_-* &quot;-&quot;??_-;_-@_-"/>
    <numFmt numFmtId="166" formatCode="_-* #,##0.0_-&quot;km/h&quot;;\-* #,##0.0_-&quot;km/h&quot;;_-* &quot;-&quot;??_-;_-@_-"/>
    <numFmt numFmtId="167" formatCode="_-* #,##0.0&quot;km/h&quot;;\(#,##0.0&quot;km/h&quot;\);_-* &quot;-&quot;??_-;_-@_-"/>
    <numFmt numFmtId="168" formatCode="_-* #,##0.00_-;\(#,##0.00\);_-* &quot;-&quot;??_-;_-@_-"/>
    <numFmt numFmtId="169" formatCode="[h]:mm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-* #,##0&quot;km/h&quot;;\(#,##0&quot;km/h&quot;\);_-* &quot;-&quot;??_-;_-@_-"/>
    <numFmt numFmtId="175" formatCode="_-* #,##0.00&quot;km/h&quot;;\(#,##0.00&quot;km/h&quot;\);_-* &quot;-&quot;??_-;_-@_-"/>
    <numFmt numFmtId="176" formatCode="d/mm/yyyy\ h:mm\ AM/P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10"/>
      <color indexed="19"/>
      <name val="Calibri"/>
      <family val="2"/>
    </font>
    <font>
      <b/>
      <sz val="14"/>
      <color indexed="8"/>
      <name val="Calibri"/>
      <family val="2"/>
    </font>
    <font>
      <i/>
      <sz val="9"/>
      <color indexed="55"/>
      <name val="Calibri"/>
      <family val="2"/>
    </font>
    <font>
      <b/>
      <sz val="12"/>
      <color indexed="10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4"/>
      <name val="Calibri"/>
      <family val="2"/>
    </font>
    <font>
      <b/>
      <sz val="14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10"/>
      <color theme="2" tint="-0.4999699890613556"/>
      <name val="Calibri"/>
      <family val="2"/>
    </font>
    <font>
      <b/>
      <sz val="14"/>
      <color theme="1"/>
      <name val="Calibri"/>
      <family val="2"/>
    </font>
    <font>
      <i/>
      <sz val="9"/>
      <color theme="0" tint="-0.24997000396251678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Calibri"/>
      <family val="2"/>
    </font>
    <font>
      <b/>
      <sz val="14"/>
      <color rgb="FF0070C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0" xfId="0" applyAlignment="1">
      <alignment wrapText="1"/>
    </xf>
    <xf numFmtId="0" fontId="45" fillId="33" borderId="10" xfId="0" applyFont="1" applyFill="1" applyBorder="1" applyAlignment="1">
      <alignment wrapText="1"/>
    </xf>
    <xf numFmtId="0" fontId="45" fillId="33" borderId="11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0" xfId="42" applyNumberFormat="1" applyFont="1" applyBorder="1" applyAlignment="1">
      <alignment/>
    </xf>
    <xf numFmtId="165" fontId="0" fillId="0" borderId="15" xfId="42" applyNumberFormat="1" applyFont="1" applyBorder="1" applyAlignment="1">
      <alignment/>
    </xf>
    <xf numFmtId="0" fontId="0" fillId="0" borderId="16" xfId="0" applyBorder="1" applyAlignment="1">
      <alignment/>
    </xf>
    <xf numFmtId="18" fontId="0" fillId="0" borderId="17" xfId="0" applyNumberFormat="1" applyBorder="1" applyAlignment="1">
      <alignment/>
    </xf>
    <xf numFmtId="18" fontId="0" fillId="0" borderId="18" xfId="0" applyNumberFormat="1" applyBorder="1" applyAlignment="1">
      <alignment/>
    </xf>
    <xf numFmtId="0" fontId="45" fillId="33" borderId="10" xfId="0" applyFont="1" applyFill="1" applyBorder="1" applyAlignment="1">
      <alignment horizontal="center" wrapText="1"/>
    </xf>
    <xf numFmtId="165" fontId="0" fillId="0" borderId="14" xfId="42" applyNumberFormat="1" applyFont="1" applyBorder="1" applyAlignment="1">
      <alignment/>
    </xf>
    <xf numFmtId="0" fontId="45" fillId="33" borderId="19" xfId="0" applyFont="1" applyFill="1" applyBorder="1" applyAlignment="1">
      <alignment horizontal="center" wrapText="1"/>
    </xf>
    <xf numFmtId="165" fontId="0" fillId="0" borderId="20" xfId="42" applyNumberFormat="1" applyFont="1" applyBorder="1" applyAlignment="1">
      <alignment/>
    </xf>
    <xf numFmtId="165" fontId="0" fillId="0" borderId="21" xfId="42" applyNumberFormat="1" applyFont="1" applyBorder="1" applyAlignment="1">
      <alignment/>
    </xf>
    <xf numFmtId="18" fontId="0" fillId="0" borderId="22" xfId="0" applyNumberFormat="1" applyBorder="1" applyAlignment="1">
      <alignment/>
    </xf>
    <xf numFmtId="18" fontId="0" fillId="0" borderId="16" xfId="0" applyNumberFormat="1" applyBorder="1" applyAlignment="1">
      <alignment/>
    </xf>
    <xf numFmtId="167" fontId="47" fillId="34" borderId="13" xfId="42" applyNumberFormat="1" applyFont="1" applyFill="1" applyBorder="1" applyAlignment="1">
      <alignment/>
    </xf>
    <xf numFmtId="167" fontId="0" fillId="0" borderId="20" xfId="42" applyNumberFormat="1" applyFont="1" applyBorder="1" applyAlignment="1">
      <alignment/>
    </xf>
    <xf numFmtId="167" fontId="0" fillId="0" borderId="17" xfId="42" applyNumberFormat="1" applyFont="1" applyBorder="1" applyAlignment="1">
      <alignment/>
    </xf>
    <xf numFmtId="167" fontId="0" fillId="0" borderId="18" xfId="42" applyNumberFormat="1" applyFont="1" applyBorder="1" applyAlignment="1">
      <alignment/>
    </xf>
    <xf numFmtId="167" fontId="0" fillId="0" borderId="22" xfId="42" applyNumberFormat="1" applyFont="1" applyBorder="1" applyAlignment="1">
      <alignment/>
    </xf>
    <xf numFmtId="167" fontId="0" fillId="0" borderId="16" xfId="42" applyNumberFormat="1" applyFont="1" applyBorder="1" applyAlignment="1">
      <alignment/>
    </xf>
    <xf numFmtId="0" fontId="48" fillId="0" borderId="16" xfId="0" applyFont="1" applyBorder="1" applyAlignment="1">
      <alignment/>
    </xf>
    <xf numFmtId="167" fontId="48" fillId="0" borderId="17" xfId="42" applyNumberFormat="1" applyFont="1" applyBorder="1" applyAlignment="1">
      <alignment/>
    </xf>
    <xf numFmtId="167" fontId="48" fillId="0" borderId="18" xfId="42" applyNumberFormat="1" applyFont="1" applyBorder="1" applyAlignment="1">
      <alignment/>
    </xf>
    <xf numFmtId="167" fontId="48" fillId="0" borderId="22" xfId="42" applyNumberFormat="1" applyFont="1" applyBorder="1" applyAlignment="1">
      <alignment/>
    </xf>
    <xf numFmtId="167" fontId="48" fillId="0" borderId="16" xfId="42" applyNumberFormat="1" applyFont="1" applyBorder="1" applyAlignment="1">
      <alignment/>
    </xf>
    <xf numFmtId="0" fontId="48" fillId="0" borderId="0" xfId="0" applyFont="1" applyAlignment="1">
      <alignment/>
    </xf>
    <xf numFmtId="0" fontId="30" fillId="35" borderId="0" xfId="0" applyFont="1" applyFill="1" applyAlignment="1">
      <alignment/>
    </xf>
    <xf numFmtId="167" fontId="30" fillId="35" borderId="0" xfId="0" applyNumberFormat="1" applyFont="1" applyFill="1" applyAlignment="1">
      <alignment/>
    </xf>
    <xf numFmtId="0" fontId="49" fillId="0" borderId="0" xfId="0" applyFont="1" applyAlignment="1">
      <alignment/>
    </xf>
    <xf numFmtId="9" fontId="0" fillId="0" borderId="0" xfId="58" applyFont="1" applyAlignment="1">
      <alignment/>
    </xf>
    <xf numFmtId="43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164" fontId="47" fillId="34" borderId="0" xfId="0" applyNumberFormat="1" applyFont="1" applyFill="1" applyAlignment="1">
      <alignment/>
    </xf>
    <xf numFmtId="9" fontId="0" fillId="0" borderId="0" xfId="0" applyNumberFormat="1" applyAlignment="1">
      <alignment/>
    </xf>
    <xf numFmtId="0" fontId="46" fillId="0" borderId="0" xfId="0" applyFont="1" applyAlignment="1">
      <alignment/>
    </xf>
    <xf numFmtId="2" fontId="46" fillId="0" borderId="0" xfId="0" applyNumberFormat="1" applyFont="1" applyAlignment="1">
      <alignment/>
    </xf>
    <xf numFmtId="22" fontId="0" fillId="0" borderId="0" xfId="0" applyNumberFormat="1" applyBorder="1" applyAlignment="1">
      <alignment/>
    </xf>
    <xf numFmtId="169" fontId="30" fillId="35" borderId="0" xfId="0" applyNumberFormat="1" applyFont="1" applyFill="1" applyAlignment="1">
      <alignment/>
    </xf>
    <xf numFmtId="169" fontId="0" fillId="0" borderId="0" xfId="42" applyNumberFormat="1" applyFont="1" applyAlignment="1">
      <alignment/>
    </xf>
    <xf numFmtId="43" fontId="0" fillId="33" borderId="10" xfId="42" applyFont="1" applyFill="1" applyBorder="1" applyAlignment="1">
      <alignment/>
    </xf>
    <xf numFmtId="43" fontId="0" fillId="33" borderId="12" xfId="42" applyFont="1" applyFill="1" applyBorder="1" applyAlignment="1">
      <alignment wrapText="1"/>
    </xf>
    <xf numFmtId="43" fontId="0" fillId="0" borderId="13" xfId="42" applyFont="1" applyBorder="1" applyAlignment="1">
      <alignment/>
    </xf>
    <xf numFmtId="9" fontId="0" fillId="0" borderId="23" xfId="58" applyFont="1" applyBorder="1" applyAlignment="1">
      <alignment/>
    </xf>
    <xf numFmtId="43" fontId="0" fillId="0" borderId="14" xfId="42" applyFont="1" applyBorder="1" applyAlignment="1">
      <alignment/>
    </xf>
    <xf numFmtId="0" fontId="0" fillId="0" borderId="0" xfId="0" applyBorder="1" applyAlignment="1">
      <alignment/>
    </xf>
    <xf numFmtId="9" fontId="0" fillId="0" borderId="15" xfId="58" applyFont="1" applyBorder="1" applyAlignment="1">
      <alignment/>
    </xf>
    <xf numFmtId="43" fontId="45" fillId="36" borderId="16" xfId="42" applyFont="1" applyFill="1" applyBorder="1" applyAlignment="1">
      <alignment/>
    </xf>
    <xf numFmtId="9" fontId="0" fillId="0" borderId="18" xfId="58" applyFont="1" applyBorder="1" applyAlignment="1">
      <alignment/>
    </xf>
    <xf numFmtId="9" fontId="0" fillId="0" borderId="20" xfId="42" applyNumberFormat="1" applyFont="1" applyBorder="1" applyAlignment="1">
      <alignment/>
    </xf>
    <xf numFmtId="9" fontId="0" fillId="0" borderId="21" xfId="42" applyNumberFormat="1" applyFont="1" applyBorder="1" applyAlignment="1">
      <alignment/>
    </xf>
    <xf numFmtId="9" fontId="0" fillId="0" borderId="22" xfId="42" applyNumberFormat="1" applyFont="1" applyBorder="1" applyAlignment="1">
      <alignment/>
    </xf>
    <xf numFmtId="43" fontId="45" fillId="37" borderId="16" xfId="42" applyFont="1" applyFill="1" applyBorder="1" applyAlignment="1">
      <alignment/>
    </xf>
    <xf numFmtId="43" fontId="45" fillId="38" borderId="16" xfId="42" applyFon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9" fontId="47" fillId="34" borderId="0" xfId="0" applyNumberFormat="1" applyFont="1" applyFill="1" applyBorder="1" applyAlignment="1">
      <alignment/>
    </xf>
    <xf numFmtId="43" fontId="0" fillId="0" borderId="15" xfId="42" applyFont="1" applyBorder="1" applyAlignment="1">
      <alignment/>
    </xf>
    <xf numFmtId="2" fontId="47" fillId="34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43" fontId="0" fillId="0" borderId="15" xfId="42" applyFont="1" applyBorder="1" applyAlignment="1">
      <alignment wrapText="1"/>
    </xf>
    <xf numFmtId="0" fontId="50" fillId="0" borderId="14" xfId="0" applyFont="1" applyBorder="1" applyAlignment="1">
      <alignment/>
    </xf>
    <xf numFmtId="0" fontId="50" fillId="0" borderId="0" xfId="0" applyFont="1" applyBorder="1" applyAlignment="1">
      <alignment/>
    </xf>
    <xf numFmtId="22" fontId="0" fillId="0" borderId="14" xfId="0" applyNumberFormat="1" applyBorder="1" applyAlignment="1">
      <alignment horizontal="left"/>
    </xf>
    <xf numFmtId="168" fontId="0" fillId="0" borderId="0" xfId="0" applyNumberFormat="1" applyBorder="1" applyAlignment="1">
      <alignment/>
    </xf>
    <xf numFmtId="168" fontId="0" fillId="39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9" fontId="0" fillId="0" borderId="15" xfId="42" applyNumberFormat="1" applyFont="1" applyBorder="1" applyAlignment="1">
      <alignment/>
    </xf>
    <xf numFmtId="22" fontId="0" fillId="0" borderId="16" xfId="0" applyNumberFormat="1" applyBorder="1" applyAlignment="1">
      <alignment horizontal="left"/>
    </xf>
    <xf numFmtId="168" fontId="0" fillId="0" borderId="17" xfId="0" applyNumberFormat="1" applyBorder="1" applyAlignment="1">
      <alignment/>
    </xf>
    <xf numFmtId="168" fontId="0" fillId="0" borderId="17" xfId="0" applyNumberFormat="1" applyFill="1" applyBorder="1" applyAlignment="1">
      <alignment/>
    </xf>
    <xf numFmtId="43" fontId="0" fillId="0" borderId="18" xfId="42" applyFont="1" applyBorder="1" applyAlignment="1">
      <alignment/>
    </xf>
    <xf numFmtId="168" fontId="0" fillId="0" borderId="14" xfId="42" applyNumberFormat="1" applyFont="1" applyBorder="1" applyAlignment="1">
      <alignment/>
    </xf>
    <xf numFmtId="168" fontId="0" fillId="39" borderId="14" xfId="42" applyNumberFormat="1" applyFont="1" applyFill="1" applyBorder="1" applyAlignment="1">
      <alignment/>
    </xf>
    <xf numFmtId="168" fontId="0" fillId="0" borderId="16" xfId="42" applyNumberFormat="1" applyFont="1" applyBorder="1" applyAlignment="1">
      <alignment/>
    </xf>
    <xf numFmtId="168" fontId="0" fillId="0" borderId="13" xfId="42" applyNumberFormat="1" applyFont="1" applyBorder="1" applyAlignment="1">
      <alignment/>
    </xf>
    <xf numFmtId="20" fontId="0" fillId="0" borderId="0" xfId="42" applyNumberFormat="1" applyFont="1" applyBorder="1" applyAlignment="1">
      <alignment/>
    </xf>
    <xf numFmtId="20" fontId="47" fillId="34" borderId="20" xfId="42" applyNumberFormat="1" applyFont="1" applyFill="1" applyBorder="1" applyAlignment="1">
      <alignment/>
    </xf>
    <xf numFmtId="20" fontId="0" fillId="0" borderId="13" xfId="42" applyNumberFormat="1" applyFont="1" applyBorder="1" applyAlignment="1">
      <alignment/>
    </xf>
    <xf numFmtId="20" fontId="0" fillId="0" borderId="24" xfId="42" applyNumberFormat="1" applyFont="1" applyBorder="1" applyAlignment="1">
      <alignment/>
    </xf>
    <xf numFmtId="20" fontId="0" fillId="0" borderId="23" xfId="42" applyNumberFormat="1" applyFont="1" applyBorder="1" applyAlignment="1">
      <alignment/>
    </xf>
    <xf numFmtId="43" fontId="0" fillId="0" borderId="0" xfId="42" applyFont="1" applyAlignment="1">
      <alignment vertical="top"/>
    </xf>
    <xf numFmtId="0" fontId="0" fillId="0" borderId="0" xfId="0" applyAlignment="1">
      <alignment vertical="top"/>
    </xf>
    <xf numFmtId="0" fontId="51" fillId="0" borderId="0" xfId="0" applyFont="1" applyAlignment="1">
      <alignment/>
    </xf>
    <xf numFmtId="0" fontId="0" fillId="0" borderId="15" xfId="0" applyBorder="1" applyAlignment="1">
      <alignment/>
    </xf>
    <xf numFmtId="43" fontId="0" fillId="39" borderId="14" xfId="42" applyFont="1" applyFill="1" applyBorder="1" applyAlignment="1">
      <alignment/>
    </xf>
    <xf numFmtId="164" fontId="26" fillId="33" borderId="12" xfId="0" applyNumberFormat="1" applyFont="1" applyFill="1" applyBorder="1" applyAlignment="1">
      <alignment wrapText="1"/>
    </xf>
    <xf numFmtId="0" fontId="46" fillId="0" borderId="0" xfId="0" applyFont="1" applyFill="1" applyBorder="1" applyAlignment="1">
      <alignment vertical="top" wrapText="1"/>
    </xf>
    <xf numFmtId="166" fontId="46" fillId="0" borderId="0" xfId="42" applyNumberFormat="1" applyFont="1" applyFill="1" applyBorder="1" applyAlignment="1">
      <alignment vertical="top"/>
    </xf>
    <xf numFmtId="167" fontId="52" fillId="0" borderId="0" xfId="42" applyNumberFormat="1" applyFont="1" applyFill="1" applyBorder="1" applyAlignment="1">
      <alignment vertical="top"/>
    </xf>
    <xf numFmtId="166" fontId="28" fillId="0" borderId="0" xfId="42" applyNumberFormat="1" applyFont="1" applyFill="1" applyBorder="1" applyAlignment="1">
      <alignment horizontal="center" vertical="top" wrapText="1"/>
    </xf>
    <xf numFmtId="167" fontId="52" fillId="0" borderId="0" xfId="42" applyNumberFormat="1" applyFont="1" applyFill="1" applyBorder="1" applyAlignment="1">
      <alignment horizontal="center" vertical="top"/>
    </xf>
    <xf numFmtId="20" fontId="0" fillId="0" borderId="14" xfId="42" applyNumberFormat="1" applyFont="1" applyBorder="1" applyAlignment="1">
      <alignment/>
    </xf>
    <xf numFmtId="20" fontId="0" fillId="0" borderId="15" xfId="42" applyNumberFormat="1" applyFont="1" applyBorder="1" applyAlignment="1">
      <alignment/>
    </xf>
    <xf numFmtId="20" fontId="47" fillId="34" borderId="24" xfId="42" applyNumberFormat="1" applyFont="1" applyFill="1" applyBorder="1" applyAlignment="1">
      <alignment/>
    </xf>
    <xf numFmtId="20" fontId="0" fillId="0" borderId="21" xfId="42" applyNumberFormat="1" applyFont="1" applyBorder="1" applyAlignment="1">
      <alignment/>
    </xf>
    <xf numFmtId="166" fontId="53" fillId="0" borderId="0" xfId="42" applyNumberFormat="1" applyFont="1" applyFill="1" applyBorder="1" applyAlignment="1">
      <alignment horizontal="center" vertical="top" wrapText="1"/>
    </xf>
    <xf numFmtId="165" fontId="26" fillId="0" borderId="24" xfId="42" applyNumberFormat="1" applyFont="1" applyFill="1" applyBorder="1" applyAlignment="1">
      <alignment/>
    </xf>
    <xf numFmtId="165" fontId="26" fillId="0" borderId="23" xfId="42" applyNumberFormat="1" applyFont="1" applyFill="1" applyBorder="1" applyAlignment="1">
      <alignment/>
    </xf>
    <xf numFmtId="165" fontId="26" fillId="0" borderId="20" xfId="42" applyNumberFormat="1" applyFont="1" applyFill="1" applyBorder="1" applyAlignment="1">
      <alignment/>
    </xf>
    <xf numFmtId="165" fontId="26" fillId="0" borderId="13" xfId="42" applyNumberFormat="1" applyFont="1" applyFill="1" applyBorder="1" applyAlignment="1">
      <alignment/>
    </xf>
    <xf numFmtId="167" fontId="47" fillId="34" borderId="24" xfId="42" applyNumberFormat="1" applyFont="1" applyFill="1" applyBorder="1" applyAlignment="1">
      <alignment/>
    </xf>
    <xf numFmtId="167" fontId="47" fillId="34" borderId="23" xfId="42" applyNumberFormat="1" applyFont="1" applyFill="1" applyBorder="1" applyAlignment="1">
      <alignment/>
    </xf>
    <xf numFmtId="167" fontId="26" fillId="0" borderId="14" xfId="42" applyNumberFormat="1" applyFont="1" applyFill="1" applyBorder="1" applyAlignment="1">
      <alignment/>
    </xf>
    <xf numFmtId="167" fontId="26" fillId="0" borderId="0" xfId="42" applyNumberFormat="1" applyFont="1" applyFill="1" applyBorder="1" applyAlignment="1">
      <alignment/>
    </xf>
    <xf numFmtId="167" fontId="26" fillId="0" borderId="15" xfId="42" applyNumberFormat="1" applyFont="1" applyFill="1" applyBorder="1" applyAlignment="1">
      <alignment/>
    </xf>
    <xf numFmtId="175" fontId="26" fillId="0" borderId="14" xfId="42" applyNumberFormat="1" applyFont="1" applyFill="1" applyBorder="1" applyAlignment="1">
      <alignment/>
    </xf>
    <xf numFmtId="165" fontId="0" fillId="0" borderId="24" xfId="42" applyNumberFormat="1" applyFont="1" applyBorder="1" applyAlignment="1">
      <alignment/>
    </xf>
    <xf numFmtId="166" fontId="0" fillId="0" borderId="0" xfId="42" applyNumberFormat="1" applyFont="1" applyBorder="1" applyAlignment="1">
      <alignment/>
    </xf>
    <xf numFmtId="166" fontId="0" fillId="0" borderId="17" xfId="42" applyNumberFormat="1" applyFont="1" applyBorder="1" applyAlignment="1">
      <alignment/>
    </xf>
    <xf numFmtId="166" fontId="48" fillId="0" borderId="17" xfId="42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8" fillId="0" borderId="22" xfId="0" applyFont="1" applyBorder="1" applyAlignment="1">
      <alignment/>
    </xf>
    <xf numFmtId="176" fontId="47" fillId="34" borderId="17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16</xdr:col>
      <xdr:colOff>533400</xdr:colOff>
      <xdr:row>37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0220325" cy="7105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85725</xdr:colOff>
      <xdr:row>17</xdr:row>
      <xdr:rowOff>38100</xdr:rowOff>
    </xdr:from>
    <xdr:to>
      <xdr:col>8</xdr:col>
      <xdr:colOff>19050</xdr:colOff>
      <xdr:row>22</xdr:row>
      <xdr:rowOff>76200</xdr:rowOff>
    </xdr:to>
    <xdr:sp>
      <xdr:nvSpPr>
        <xdr:cNvPr id="2" name="Rectangle 10"/>
        <xdr:cNvSpPr>
          <a:spLocks/>
        </xdr:cNvSpPr>
      </xdr:nvSpPr>
      <xdr:spPr>
        <a:xfrm>
          <a:off x="3743325" y="3276600"/>
          <a:ext cx="1152525" cy="9906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323850</xdr:colOff>
      <xdr:row>1</xdr:row>
      <xdr:rowOff>38100</xdr:rowOff>
    </xdr:from>
    <xdr:to>
      <xdr:col>11</xdr:col>
      <xdr:colOff>200025</xdr:colOff>
      <xdr:row>3</xdr:row>
      <xdr:rowOff>142875</xdr:rowOff>
    </xdr:to>
    <xdr:sp textlink="'HCC Calculator'!B28">
      <xdr:nvSpPr>
        <xdr:cNvPr id="3" name="Rectangle 4"/>
        <xdr:cNvSpPr>
          <a:spLocks/>
        </xdr:cNvSpPr>
      </xdr:nvSpPr>
      <xdr:spPr>
        <a:xfrm>
          <a:off x="5810250" y="228600"/>
          <a:ext cx="1095375" cy="4857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       5.1/64.8 km</a:t>
          </a:r>
        </a:p>
      </xdr:txBody>
    </xdr:sp>
    <xdr:clientData/>
  </xdr:twoCellAnchor>
  <xdr:twoCellAnchor>
    <xdr:from>
      <xdr:col>6</xdr:col>
      <xdr:colOff>304800</xdr:colOff>
      <xdr:row>0</xdr:row>
      <xdr:rowOff>152400</xdr:rowOff>
    </xdr:from>
    <xdr:to>
      <xdr:col>8</xdr:col>
      <xdr:colOff>247650</xdr:colOff>
      <xdr:row>3</xdr:row>
      <xdr:rowOff>171450</xdr:rowOff>
    </xdr:to>
    <xdr:sp textlink="'HCC Calculator'!L14">
      <xdr:nvSpPr>
        <xdr:cNvPr id="4" name="Rectangle 5"/>
        <xdr:cNvSpPr>
          <a:spLocks/>
        </xdr:cNvSpPr>
      </xdr:nvSpPr>
      <xdr:spPr>
        <a:xfrm>
          <a:off x="3962400" y="152400"/>
          <a:ext cx="1162050" cy="59055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Wisemans - I    5.3/59.7 km</a:t>
          </a:r>
        </a:p>
      </xdr:txBody>
    </xdr:sp>
    <xdr:clientData/>
  </xdr:twoCellAnchor>
  <xdr:twoCellAnchor>
    <xdr:from>
      <xdr:col>6</xdr:col>
      <xdr:colOff>104775</xdr:colOff>
      <xdr:row>17</xdr:row>
      <xdr:rowOff>85725</xdr:rowOff>
    </xdr:from>
    <xdr:to>
      <xdr:col>8</xdr:col>
      <xdr:colOff>47625</xdr:colOff>
      <xdr:row>19</xdr:row>
      <xdr:rowOff>190500</xdr:rowOff>
    </xdr:to>
    <xdr:sp textlink="'HCC Calculator'!E14">
      <xdr:nvSpPr>
        <xdr:cNvPr id="5" name="Rectangle 8"/>
        <xdr:cNvSpPr>
          <a:spLocks/>
        </xdr:cNvSpPr>
      </xdr:nvSpPr>
      <xdr:spPr>
        <a:xfrm>
          <a:off x="3762375" y="3324225"/>
          <a:ext cx="1162050" cy="4857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       5.5/22.5 km</a:t>
          </a:r>
        </a:p>
      </xdr:txBody>
    </xdr:sp>
    <xdr:clientData/>
  </xdr:twoCellAnchor>
  <xdr:twoCellAnchor>
    <xdr:from>
      <xdr:col>5</xdr:col>
      <xdr:colOff>523875</xdr:colOff>
      <xdr:row>23</xdr:row>
      <xdr:rowOff>0</xdr:rowOff>
    </xdr:from>
    <xdr:to>
      <xdr:col>7</xdr:col>
      <xdr:colOff>457200</xdr:colOff>
      <xdr:row>28</xdr:row>
      <xdr:rowOff>38100</xdr:rowOff>
    </xdr:to>
    <xdr:sp>
      <xdr:nvSpPr>
        <xdr:cNvPr id="6" name="Rectangle 11"/>
        <xdr:cNvSpPr>
          <a:spLocks/>
        </xdr:cNvSpPr>
      </xdr:nvSpPr>
      <xdr:spPr>
        <a:xfrm>
          <a:off x="3571875" y="4381500"/>
          <a:ext cx="1152525" cy="9906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571500</xdr:colOff>
      <xdr:row>23</xdr:row>
      <xdr:rowOff>66675</xdr:rowOff>
    </xdr:from>
    <xdr:to>
      <xdr:col>7</xdr:col>
      <xdr:colOff>400050</xdr:colOff>
      <xdr:row>25</xdr:row>
      <xdr:rowOff>171450</xdr:rowOff>
    </xdr:to>
    <xdr:sp textlink="'HCC Calculator'!D14">
      <xdr:nvSpPr>
        <xdr:cNvPr id="7" name="Rectangle 6"/>
        <xdr:cNvSpPr>
          <a:spLocks/>
        </xdr:cNvSpPr>
      </xdr:nvSpPr>
      <xdr:spPr>
        <a:xfrm>
          <a:off x="3619500" y="4448175"/>
          <a:ext cx="1047750" cy="4857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       4.8/17 km</a:t>
          </a:r>
        </a:p>
      </xdr:txBody>
    </xdr:sp>
    <xdr:clientData/>
  </xdr:twoCellAnchor>
  <xdr:twoCellAnchor>
    <xdr:from>
      <xdr:col>0</xdr:col>
      <xdr:colOff>495300</xdr:colOff>
      <xdr:row>20</xdr:row>
      <xdr:rowOff>28575</xdr:rowOff>
    </xdr:from>
    <xdr:to>
      <xdr:col>2</xdr:col>
      <xdr:colOff>428625</xdr:colOff>
      <xdr:row>25</xdr:row>
      <xdr:rowOff>66675</xdr:rowOff>
    </xdr:to>
    <xdr:sp>
      <xdr:nvSpPr>
        <xdr:cNvPr id="8" name="Rectangle 12"/>
        <xdr:cNvSpPr>
          <a:spLocks/>
        </xdr:cNvSpPr>
      </xdr:nvSpPr>
      <xdr:spPr>
        <a:xfrm>
          <a:off x="495300" y="3838575"/>
          <a:ext cx="1152525" cy="9906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476250</xdr:colOff>
      <xdr:row>19</xdr:row>
      <xdr:rowOff>57150</xdr:rowOff>
    </xdr:from>
    <xdr:to>
      <xdr:col>2</xdr:col>
      <xdr:colOff>400050</xdr:colOff>
      <xdr:row>21</xdr:row>
      <xdr:rowOff>161925</xdr:rowOff>
    </xdr:to>
    <xdr:sp textlink="'HCC Calculator'!F14">
      <xdr:nvSpPr>
        <xdr:cNvPr id="9" name="Rectangle 9"/>
        <xdr:cNvSpPr>
          <a:spLocks/>
        </xdr:cNvSpPr>
      </xdr:nvSpPr>
      <xdr:spPr>
        <a:xfrm>
          <a:off x="476250" y="3676650"/>
          <a:ext cx="1143000" cy="4857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Sackville - D    7/29.5 km</a:t>
          </a:r>
        </a:p>
      </xdr:txBody>
    </xdr:sp>
    <xdr:clientData/>
  </xdr:twoCellAnchor>
  <xdr:twoCellAnchor>
    <xdr:from>
      <xdr:col>1</xdr:col>
      <xdr:colOff>76200</xdr:colOff>
      <xdr:row>13</xdr:row>
      <xdr:rowOff>28575</xdr:rowOff>
    </xdr:from>
    <xdr:to>
      <xdr:col>3</xdr:col>
      <xdr:colOff>9525</xdr:colOff>
      <xdr:row>18</xdr:row>
      <xdr:rowOff>66675</xdr:rowOff>
    </xdr:to>
    <xdr:sp>
      <xdr:nvSpPr>
        <xdr:cNvPr id="10" name="Rectangle 14"/>
        <xdr:cNvSpPr>
          <a:spLocks/>
        </xdr:cNvSpPr>
      </xdr:nvSpPr>
      <xdr:spPr>
        <a:xfrm>
          <a:off x="685800" y="2505075"/>
          <a:ext cx="1152525" cy="9906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114300</xdr:colOff>
      <xdr:row>13</xdr:row>
      <xdr:rowOff>47625</xdr:rowOff>
    </xdr:from>
    <xdr:to>
      <xdr:col>2</xdr:col>
      <xdr:colOff>590550</xdr:colOff>
      <xdr:row>15</xdr:row>
      <xdr:rowOff>152400</xdr:rowOff>
    </xdr:to>
    <xdr:sp textlink="'HCC Calculator'!H14">
      <xdr:nvSpPr>
        <xdr:cNvPr id="11" name="Rectangle 13"/>
        <xdr:cNvSpPr>
          <a:spLocks/>
        </xdr:cNvSpPr>
      </xdr:nvSpPr>
      <xdr:spPr>
        <a:xfrm>
          <a:off x="723900" y="2524125"/>
          <a:ext cx="1085850" cy="4857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      8.9/38.4 km</a:t>
          </a:r>
        </a:p>
      </xdr:txBody>
    </xdr:sp>
    <xdr:clientData/>
  </xdr:twoCellAnchor>
  <xdr:twoCellAnchor>
    <xdr:from>
      <xdr:col>5</xdr:col>
      <xdr:colOff>180975</xdr:colOff>
      <xdr:row>11</xdr:row>
      <xdr:rowOff>57150</xdr:rowOff>
    </xdr:from>
    <xdr:to>
      <xdr:col>7</xdr:col>
      <xdr:colOff>114300</xdr:colOff>
      <xdr:row>16</xdr:row>
      <xdr:rowOff>95250</xdr:rowOff>
    </xdr:to>
    <xdr:sp>
      <xdr:nvSpPr>
        <xdr:cNvPr id="12" name="Rectangle 15"/>
        <xdr:cNvSpPr>
          <a:spLocks/>
        </xdr:cNvSpPr>
      </xdr:nvSpPr>
      <xdr:spPr>
        <a:xfrm>
          <a:off x="3228975" y="2152650"/>
          <a:ext cx="1152525" cy="9906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228600</xdr:colOff>
      <xdr:row>11</xdr:row>
      <xdr:rowOff>95250</xdr:rowOff>
    </xdr:from>
    <xdr:to>
      <xdr:col>6</xdr:col>
      <xdr:colOff>571500</xdr:colOff>
      <xdr:row>14</xdr:row>
      <xdr:rowOff>9525</xdr:rowOff>
    </xdr:to>
    <xdr:sp textlink="'HCC Calculator'!I14">
      <xdr:nvSpPr>
        <xdr:cNvPr id="13" name="Rectangle 16"/>
        <xdr:cNvSpPr>
          <a:spLocks/>
        </xdr:cNvSpPr>
      </xdr:nvSpPr>
      <xdr:spPr>
        <a:xfrm>
          <a:off x="3276600" y="2190750"/>
          <a:ext cx="952500" cy="4857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       6/44.4 km</a:t>
          </a:r>
        </a:p>
      </xdr:txBody>
    </xdr:sp>
    <xdr:clientData/>
  </xdr:twoCellAnchor>
  <xdr:twoCellAnchor>
    <xdr:from>
      <xdr:col>2</xdr:col>
      <xdr:colOff>171450</xdr:colOff>
      <xdr:row>1</xdr:row>
      <xdr:rowOff>133350</xdr:rowOff>
    </xdr:from>
    <xdr:to>
      <xdr:col>4</xdr:col>
      <xdr:colOff>104775</xdr:colOff>
      <xdr:row>6</xdr:row>
      <xdr:rowOff>171450</xdr:rowOff>
    </xdr:to>
    <xdr:sp>
      <xdr:nvSpPr>
        <xdr:cNvPr id="14" name="Rectangle 17"/>
        <xdr:cNvSpPr>
          <a:spLocks/>
        </xdr:cNvSpPr>
      </xdr:nvSpPr>
      <xdr:spPr>
        <a:xfrm>
          <a:off x="1390650" y="323850"/>
          <a:ext cx="1152525" cy="9906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1</xdr:row>
      <xdr:rowOff>161925</xdr:rowOff>
    </xdr:from>
    <xdr:to>
      <xdr:col>3</xdr:col>
      <xdr:colOff>571500</xdr:colOff>
      <xdr:row>4</xdr:row>
      <xdr:rowOff>76200</xdr:rowOff>
    </xdr:to>
    <xdr:sp textlink="'HCC Calculator'!J14">
      <xdr:nvSpPr>
        <xdr:cNvPr id="15" name="Rectangle 18"/>
        <xdr:cNvSpPr>
          <a:spLocks/>
        </xdr:cNvSpPr>
      </xdr:nvSpPr>
      <xdr:spPr>
        <a:xfrm>
          <a:off x="1323975" y="352425"/>
          <a:ext cx="1076325" cy="4857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       5.5/49.9 km</a:t>
          </a:r>
        </a:p>
      </xdr:txBody>
    </xdr:sp>
    <xdr:clientData/>
  </xdr:twoCellAnchor>
  <xdr:twoCellAnchor>
    <xdr:from>
      <xdr:col>4</xdr:col>
      <xdr:colOff>200025</xdr:colOff>
      <xdr:row>1</xdr:row>
      <xdr:rowOff>28575</xdr:rowOff>
    </xdr:from>
    <xdr:to>
      <xdr:col>6</xdr:col>
      <xdr:colOff>133350</xdr:colOff>
      <xdr:row>6</xdr:row>
      <xdr:rowOff>66675</xdr:rowOff>
    </xdr:to>
    <xdr:sp>
      <xdr:nvSpPr>
        <xdr:cNvPr id="16" name="Rectangle 19"/>
        <xdr:cNvSpPr>
          <a:spLocks/>
        </xdr:cNvSpPr>
      </xdr:nvSpPr>
      <xdr:spPr>
        <a:xfrm>
          <a:off x="2638425" y="219075"/>
          <a:ext cx="1152525" cy="9906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180975</xdr:colOff>
      <xdr:row>1</xdr:row>
      <xdr:rowOff>57150</xdr:rowOff>
    </xdr:from>
    <xdr:to>
      <xdr:col>6</xdr:col>
      <xdr:colOff>123825</xdr:colOff>
      <xdr:row>3</xdr:row>
      <xdr:rowOff>161925</xdr:rowOff>
    </xdr:to>
    <xdr:sp textlink="'HCC Calculator'!K14">
      <xdr:nvSpPr>
        <xdr:cNvPr id="17" name="Rectangle 20"/>
        <xdr:cNvSpPr>
          <a:spLocks/>
        </xdr:cNvSpPr>
      </xdr:nvSpPr>
      <xdr:spPr>
        <a:xfrm>
          <a:off x="2619375" y="247650"/>
          <a:ext cx="1162050" cy="4857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       4.5/54.4 km</a:t>
          </a:r>
        </a:p>
      </xdr:txBody>
    </xdr:sp>
    <xdr:clientData/>
  </xdr:twoCellAnchor>
  <xdr:twoCellAnchor>
    <xdr:from>
      <xdr:col>11</xdr:col>
      <xdr:colOff>19050</xdr:colOff>
      <xdr:row>6</xdr:row>
      <xdr:rowOff>85725</xdr:rowOff>
    </xdr:from>
    <xdr:to>
      <xdr:col>12</xdr:col>
      <xdr:colOff>523875</xdr:colOff>
      <xdr:row>8</xdr:row>
      <xdr:rowOff>190500</xdr:rowOff>
    </xdr:to>
    <xdr:sp textlink="'HCC Calculator'!C28">
      <xdr:nvSpPr>
        <xdr:cNvPr id="18" name="Rectangle 21"/>
        <xdr:cNvSpPr>
          <a:spLocks/>
        </xdr:cNvSpPr>
      </xdr:nvSpPr>
      <xdr:spPr>
        <a:xfrm>
          <a:off x="6724650" y="1228725"/>
          <a:ext cx="1114425" cy="4857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       6.1/70.9 km</a:t>
          </a:r>
        </a:p>
      </xdr:txBody>
    </xdr:sp>
    <xdr:clientData/>
  </xdr:twoCellAnchor>
  <xdr:twoCellAnchor>
    <xdr:from>
      <xdr:col>14</xdr:col>
      <xdr:colOff>104775</xdr:colOff>
      <xdr:row>31</xdr:row>
      <xdr:rowOff>190500</xdr:rowOff>
    </xdr:from>
    <xdr:to>
      <xdr:col>15</xdr:col>
      <xdr:colOff>504825</xdr:colOff>
      <xdr:row>34</xdr:row>
      <xdr:rowOff>104775</xdr:rowOff>
    </xdr:to>
    <xdr:sp textlink="'HCC Calculator'!M28">
      <xdr:nvSpPr>
        <xdr:cNvPr id="19" name="Rectangle 28"/>
        <xdr:cNvSpPr>
          <a:spLocks/>
        </xdr:cNvSpPr>
      </xdr:nvSpPr>
      <xdr:spPr>
        <a:xfrm>
          <a:off x="8639175" y="6096000"/>
          <a:ext cx="1009650" cy="4857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Finish    4/99.3 km</a:t>
          </a:r>
        </a:p>
      </xdr:txBody>
    </xdr:sp>
    <xdr:clientData/>
  </xdr:twoCellAnchor>
  <xdr:twoCellAnchor>
    <xdr:from>
      <xdr:col>12</xdr:col>
      <xdr:colOff>428625</xdr:colOff>
      <xdr:row>12</xdr:row>
      <xdr:rowOff>161925</xdr:rowOff>
    </xdr:from>
    <xdr:to>
      <xdr:col>14</xdr:col>
      <xdr:colOff>361950</xdr:colOff>
      <xdr:row>18</xdr:row>
      <xdr:rowOff>9525</xdr:rowOff>
    </xdr:to>
    <xdr:sp>
      <xdr:nvSpPr>
        <xdr:cNvPr id="20" name="Rectangle 29"/>
        <xdr:cNvSpPr>
          <a:spLocks/>
        </xdr:cNvSpPr>
      </xdr:nvSpPr>
      <xdr:spPr>
        <a:xfrm>
          <a:off x="7743825" y="2447925"/>
          <a:ext cx="1152525" cy="9906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476250</xdr:colOff>
      <xdr:row>12</xdr:row>
      <xdr:rowOff>180975</xdr:rowOff>
    </xdr:from>
    <xdr:to>
      <xdr:col>16</xdr:col>
      <xdr:colOff>409575</xdr:colOff>
      <xdr:row>18</xdr:row>
      <xdr:rowOff>28575</xdr:rowOff>
    </xdr:to>
    <xdr:sp>
      <xdr:nvSpPr>
        <xdr:cNvPr id="21" name="Rectangle 30"/>
        <xdr:cNvSpPr>
          <a:spLocks/>
        </xdr:cNvSpPr>
      </xdr:nvSpPr>
      <xdr:spPr>
        <a:xfrm>
          <a:off x="9010650" y="2466975"/>
          <a:ext cx="1152525" cy="9906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66675</xdr:colOff>
      <xdr:row>19</xdr:row>
      <xdr:rowOff>180975</xdr:rowOff>
    </xdr:from>
    <xdr:to>
      <xdr:col>12</xdr:col>
      <xdr:colOff>0</xdr:colOff>
      <xdr:row>25</xdr:row>
      <xdr:rowOff>28575</xdr:rowOff>
    </xdr:to>
    <xdr:sp>
      <xdr:nvSpPr>
        <xdr:cNvPr id="22" name="Rectangle 31"/>
        <xdr:cNvSpPr>
          <a:spLocks/>
        </xdr:cNvSpPr>
      </xdr:nvSpPr>
      <xdr:spPr>
        <a:xfrm>
          <a:off x="6162675" y="3800475"/>
          <a:ext cx="1152525" cy="9906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0</xdr:rowOff>
    </xdr:from>
    <xdr:to>
      <xdr:col>14</xdr:col>
      <xdr:colOff>190500</xdr:colOff>
      <xdr:row>28</xdr:row>
      <xdr:rowOff>38100</xdr:rowOff>
    </xdr:to>
    <xdr:sp>
      <xdr:nvSpPr>
        <xdr:cNvPr id="23" name="Rectangle 32"/>
        <xdr:cNvSpPr>
          <a:spLocks/>
        </xdr:cNvSpPr>
      </xdr:nvSpPr>
      <xdr:spPr>
        <a:xfrm>
          <a:off x="7572375" y="4381500"/>
          <a:ext cx="1152525" cy="9906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561975</xdr:colOff>
      <xdr:row>29</xdr:row>
      <xdr:rowOff>9525</xdr:rowOff>
    </xdr:from>
    <xdr:to>
      <xdr:col>13</xdr:col>
      <xdr:colOff>495300</xdr:colOff>
      <xdr:row>34</xdr:row>
      <xdr:rowOff>47625</xdr:rowOff>
    </xdr:to>
    <xdr:sp>
      <xdr:nvSpPr>
        <xdr:cNvPr id="24" name="Rectangle 33"/>
        <xdr:cNvSpPr>
          <a:spLocks/>
        </xdr:cNvSpPr>
      </xdr:nvSpPr>
      <xdr:spPr>
        <a:xfrm>
          <a:off x="7267575" y="5534025"/>
          <a:ext cx="1152525" cy="9906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581025</xdr:colOff>
      <xdr:row>29</xdr:row>
      <xdr:rowOff>9525</xdr:rowOff>
    </xdr:from>
    <xdr:to>
      <xdr:col>13</xdr:col>
      <xdr:colOff>381000</xdr:colOff>
      <xdr:row>31</xdr:row>
      <xdr:rowOff>114300</xdr:rowOff>
    </xdr:to>
    <xdr:sp textlink="'HCC Calculator'!J28">
      <xdr:nvSpPr>
        <xdr:cNvPr id="25" name="Rectangle 27"/>
        <xdr:cNvSpPr>
          <a:spLocks/>
        </xdr:cNvSpPr>
      </xdr:nvSpPr>
      <xdr:spPr>
        <a:xfrm>
          <a:off x="7286625" y="5534025"/>
          <a:ext cx="1019175" cy="4857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       3/95.3 km</a:t>
          </a:r>
        </a:p>
      </xdr:txBody>
    </xdr:sp>
    <xdr:clientData/>
  </xdr:twoCellAnchor>
  <xdr:twoCellAnchor>
    <xdr:from>
      <xdr:col>12</xdr:col>
      <xdr:colOff>161925</xdr:colOff>
      <xdr:row>23</xdr:row>
      <xdr:rowOff>28575</xdr:rowOff>
    </xdr:from>
    <xdr:to>
      <xdr:col>14</xdr:col>
      <xdr:colOff>95250</xdr:colOff>
      <xdr:row>25</xdr:row>
      <xdr:rowOff>133350</xdr:rowOff>
    </xdr:to>
    <xdr:sp textlink="'HCC Calculator'!I28">
      <xdr:nvSpPr>
        <xdr:cNvPr id="26" name="Rectangle 26"/>
        <xdr:cNvSpPr>
          <a:spLocks/>
        </xdr:cNvSpPr>
      </xdr:nvSpPr>
      <xdr:spPr>
        <a:xfrm>
          <a:off x="7477125" y="4410075"/>
          <a:ext cx="1152525" cy="4857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       3.3/92.3 km</a:t>
          </a:r>
        </a:p>
      </xdr:txBody>
    </xdr:sp>
    <xdr:clientData/>
  </xdr:twoCellAnchor>
  <xdr:twoCellAnchor>
    <xdr:from>
      <xdr:col>9</xdr:col>
      <xdr:colOff>590550</xdr:colOff>
      <xdr:row>20</xdr:row>
      <xdr:rowOff>19050</xdr:rowOff>
    </xdr:from>
    <xdr:to>
      <xdr:col>11</xdr:col>
      <xdr:colOff>504825</xdr:colOff>
      <xdr:row>22</xdr:row>
      <xdr:rowOff>123825</xdr:rowOff>
    </xdr:to>
    <xdr:sp textlink="'HCC Calculator'!F28">
      <xdr:nvSpPr>
        <xdr:cNvPr id="27" name="Rectangle 23"/>
        <xdr:cNvSpPr>
          <a:spLocks/>
        </xdr:cNvSpPr>
      </xdr:nvSpPr>
      <xdr:spPr>
        <a:xfrm>
          <a:off x="6076950" y="3829050"/>
          <a:ext cx="1133475" cy="4857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       6.6/81.5 km</a:t>
          </a:r>
        </a:p>
      </xdr:txBody>
    </xdr:sp>
    <xdr:clientData/>
  </xdr:twoCellAnchor>
  <xdr:twoCellAnchor>
    <xdr:from>
      <xdr:col>12</xdr:col>
      <xdr:colOff>476250</xdr:colOff>
      <xdr:row>12</xdr:row>
      <xdr:rowOff>152400</xdr:rowOff>
    </xdr:from>
    <xdr:to>
      <xdr:col>14</xdr:col>
      <xdr:colOff>342900</xdr:colOff>
      <xdr:row>15</xdr:row>
      <xdr:rowOff>66675</xdr:rowOff>
    </xdr:to>
    <xdr:sp textlink="'HCC Calculator'!G28">
      <xdr:nvSpPr>
        <xdr:cNvPr id="28" name="Rectangle 24"/>
        <xdr:cNvSpPr>
          <a:spLocks/>
        </xdr:cNvSpPr>
      </xdr:nvSpPr>
      <xdr:spPr>
        <a:xfrm>
          <a:off x="7791450" y="2438400"/>
          <a:ext cx="1085850" cy="4857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       4.2/85.7 km</a:t>
          </a:r>
        </a:p>
      </xdr:txBody>
    </xdr:sp>
    <xdr:clientData/>
  </xdr:twoCellAnchor>
  <xdr:twoCellAnchor>
    <xdr:from>
      <xdr:col>14</xdr:col>
      <xdr:colOff>581025</xdr:colOff>
      <xdr:row>12</xdr:row>
      <xdr:rowOff>180975</xdr:rowOff>
    </xdr:from>
    <xdr:to>
      <xdr:col>16</xdr:col>
      <xdr:colOff>390525</xdr:colOff>
      <xdr:row>15</xdr:row>
      <xdr:rowOff>95250</xdr:rowOff>
    </xdr:to>
    <xdr:sp textlink="'HCC Calculator'!H28">
      <xdr:nvSpPr>
        <xdr:cNvPr id="29" name="Rectangle 25"/>
        <xdr:cNvSpPr>
          <a:spLocks/>
        </xdr:cNvSpPr>
      </xdr:nvSpPr>
      <xdr:spPr>
        <a:xfrm>
          <a:off x="9115425" y="2466975"/>
          <a:ext cx="1028700" cy="4857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       3.3/89 km</a:t>
          </a:r>
        </a:p>
      </xdr:txBody>
    </xdr:sp>
    <xdr:clientData/>
  </xdr:twoCellAnchor>
  <xdr:twoCellAnchor>
    <xdr:from>
      <xdr:col>9</xdr:col>
      <xdr:colOff>95250</xdr:colOff>
      <xdr:row>14</xdr:row>
      <xdr:rowOff>104775</xdr:rowOff>
    </xdr:from>
    <xdr:to>
      <xdr:col>11</xdr:col>
      <xdr:colOff>28575</xdr:colOff>
      <xdr:row>19</xdr:row>
      <xdr:rowOff>142875</xdr:rowOff>
    </xdr:to>
    <xdr:sp>
      <xdr:nvSpPr>
        <xdr:cNvPr id="30" name="Rectangle 34"/>
        <xdr:cNvSpPr>
          <a:spLocks/>
        </xdr:cNvSpPr>
      </xdr:nvSpPr>
      <xdr:spPr>
        <a:xfrm>
          <a:off x="5581650" y="2771775"/>
          <a:ext cx="1152525" cy="9906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161925</xdr:colOff>
      <xdr:row>14</xdr:row>
      <xdr:rowOff>114300</xdr:rowOff>
    </xdr:from>
    <xdr:to>
      <xdr:col>10</xdr:col>
      <xdr:colOff>533400</xdr:colOff>
      <xdr:row>17</xdr:row>
      <xdr:rowOff>28575</xdr:rowOff>
    </xdr:to>
    <xdr:sp textlink="'HCC Calculator'!D28">
      <xdr:nvSpPr>
        <xdr:cNvPr id="31" name="Rectangle 22"/>
        <xdr:cNvSpPr>
          <a:spLocks/>
        </xdr:cNvSpPr>
      </xdr:nvSpPr>
      <xdr:spPr>
        <a:xfrm>
          <a:off x="5648325" y="2781300"/>
          <a:ext cx="981075" cy="4857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      4/74.9 km</a:t>
          </a:r>
        </a:p>
      </xdr:txBody>
    </xdr:sp>
    <xdr:clientData/>
  </xdr:twoCellAnchor>
  <xdr:twoCellAnchor>
    <xdr:from>
      <xdr:col>4</xdr:col>
      <xdr:colOff>285750</xdr:colOff>
      <xdr:row>28</xdr:row>
      <xdr:rowOff>66675</xdr:rowOff>
    </xdr:from>
    <xdr:to>
      <xdr:col>6</xdr:col>
      <xdr:colOff>219075</xdr:colOff>
      <xdr:row>33</xdr:row>
      <xdr:rowOff>104775</xdr:rowOff>
    </xdr:to>
    <xdr:sp>
      <xdr:nvSpPr>
        <xdr:cNvPr id="32" name="Rectangle 35"/>
        <xdr:cNvSpPr>
          <a:spLocks/>
        </xdr:cNvSpPr>
      </xdr:nvSpPr>
      <xdr:spPr>
        <a:xfrm>
          <a:off x="2724150" y="5400675"/>
          <a:ext cx="1152525" cy="9906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333375</xdr:colOff>
      <xdr:row>28</xdr:row>
      <xdr:rowOff>95250</xdr:rowOff>
    </xdr:from>
    <xdr:to>
      <xdr:col>6</xdr:col>
      <xdr:colOff>314325</xdr:colOff>
      <xdr:row>31</xdr:row>
      <xdr:rowOff>9525</xdr:rowOff>
    </xdr:to>
    <xdr:sp textlink="'HCC Calculator'!C14">
      <xdr:nvSpPr>
        <xdr:cNvPr id="33" name="Rectangle 7"/>
        <xdr:cNvSpPr>
          <a:spLocks/>
        </xdr:cNvSpPr>
      </xdr:nvSpPr>
      <xdr:spPr>
        <a:xfrm>
          <a:off x="2771775" y="5429250"/>
          <a:ext cx="1200150" cy="4857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Cattai - A    12.2/12.2 km</a:t>
          </a:r>
        </a:p>
      </xdr:txBody>
    </xdr:sp>
    <xdr:clientData/>
  </xdr:twoCellAnchor>
  <xdr:twoCellAnchor>
    <xdr:from>
      <xdr:col>6</xdr:col>
      <xdr:colOff>104775</xdr:colOff>
      <xdr:row>20</xdr:row>
      <xdr:rowOff>9525</xdr:rowOff>
    </xdr:from>
    <xdr:to>
      <xdr:col>8</xdr:col>
      <xdr:colOff>47625</xdr:colOff>
      <xdr:row>22</xdr:row>
      <xdr:rowOff>114300</xdr:rowOff>
    </xdr:to>
    <xdr:sp textlink="'HCC Calculator'!E15">
      <xdr:nvSpPr>
        <xdr:cNvPr id="34" name="Rectangle 40"/>
        <xdr:cNvSpPr>
          <a:spLocks/>
        </xdr:cNvSpPr>
      </xdr:nvSpPr>
      <xdr:spPr>
        <a:xfrm>
          <a:off x="3762375" y="3819525"/>
          <a:ext cx="1162050" cy="4857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7.7km/h, 2:33e</a:t>
          </a:r>
        </a:p>
      </xdr:txBody>
    </xdr:sp>
    <xdr:clientData/>
  </xdr:twoCellAnchor>
  <xdr:twoCellAnchor>
    <xdr:from>
      <xdr:col>5</xdr:col>
      <xdr:colOff>561975</xdr:colOff>
      <xdr:row>25</xdr:row>
      <xdr:rowOff>171450</xdr:rowOff>
    </xdr:from>
    <xdr:to>
      <xdr:col>7</xdr:col>
      <xdr:colOff>390525</xdr:colOff>
      <xdr:row>28</xdr:row>
      <xdr:rowOff>85725</xdr:rowOff>
    </xdr:to>
    <xdr:sp textlink="'HCC Calculator'!D15">
      <xdr:nvSpPr>
        <xdr:cNvPr id="35" name="Rectangle 41"/>
        <xdr:cNvSpPr>
          <a:spLocks/>
        </xdr:cNvSpPr>
      </xdr:nvSpPr>
      <xdr:spPr>
        <a:xfrm>
          <a:off x="3609975" y="4933950"/>
          <a:ext cx="1047750" cy="4857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8km/h, 1:51e</a:t>
          </a:r>
        </a:p>
      </xdr:txBody>
    </xdr:sp>
    <xdr:clientData/>
  </xdr:twoCellAnchor>
  <xdr:twoCellAnchor>
    <xdr:from>
      <xdr:col>1</xdr:col>
      <xdr:colOff>104775</xdr:colOff>
      <xdr:row>15</xdr:row>
      <xdr:rowOff>152400</xdr:rowOff>
    </xdr:from>
    <xdr:to>
      <xdr:col>2</xdr:col>
      <xdr:colOff>581025</xdr:colOff>
      <xdr:row>18</xdr:row>
      <xdr:rowOff>66675</xdr:rowOff>
    </xdr:to>
    <xdr:sp textlink="'HCC Calculator'!H15">
      <xdr:nvSpPr>
        <xdr:cNvPr id="36" name="Rectangle 42"/>
        <xdr:cNvSpPr>
          <a:spLocks/>
        </xdr:cNvSpPr>
      </xdr:nvSpPr>
      <xdr:spPr>
        <a:xfrm>
          <a:off x="714375" y="3009900"/>
          <a:ext cx="1085850" cy="4857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8.4km/h, 4:51e</a:t>
          </a:r>
        </a:p>
      </xdr:txBody>
    </xdr:sp>
    <xdr:clientData/>
  </xdr:twoCellAnchor>
  <xdr:twoCellAnchor>
    <xdr:from>
      <xdr:col>0</xdr:col>
      <xdr:colOff>476250</xdr:colOff>
      <xdr:row>21</xdr:row>
      <xdr:rowOff>171450</xdr:rowOff>
    </xdr:from>
    <xdr:to>
      <xdr:col>2</xdr:col>
      <xdr:colOff>400050</xdr:colOff>
      <xdr:row>24</xdr:row>
      <xdr:rowOff>85725</xdr:rowOff>
    </xdr:to>
    <xdr:sp textlink="'HCC Calculator'!F15">
      <xdr:nvSpPr>
        <xdr:cNvPr id="37" name="Rectangle 43"/>
        <xdr:cNvSpPr>
          <a:spLocks/>
        </xdr:cNvSpPr>
      </xdr:nvSpPr>
      <xdr:spPr>
        <a:xfrm>
          <a:off x="476250" y="4171950"/>
          <a:ext cx="1143000" cy="4857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7.7km/h, 3:28e</a:t>
          </a:r>
        </a:p>
      </xdr:txBody>
    </xdr:sp>
    <xdr:clientData/>
  </xdr:twoCellAnchor>
  <xdr:twoCellAnchor>
    <xdr:from>
      <xdr:col>5</xdr:col>
      <xdr:colOff>228600</xdr:colOff>
      <xdr:row>13</xdr:row>
      <xdr:rowOff>190500</xdr:rowOff>
    </xdr:from>
    <xdr:to>
      <xdr:col>6</xdr:col>
      <xdr:colOff>571500</xdr:colOff>
      <xdr:row>16</xdr:row>
      <xdr:rowOff>104775</xdr:rowOff>
    </xdr:to>
    <xdr:sp textlink="'HCC Calculator'!I15">
      <xdr:nvSpPr>
        <xdr:cNvPr id="38" name="Rectangle 44"/>
        <xdr:cNvSpPr>
          <a:spLocks/>
        </xdr:cNvSpPr>
      </xdr:nvSpPr>
      <xdr:spPr>
        <a:xfrm>
          <a:off x="3276600" y="2667000"/>
          <a:ext cx="952500" cy="4857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9.5km/h, 5:29e</a:t>
          </a:r>
        </a:p>
      </xdr:txBody>
    </xdr:sp>
    <xdr:clientData/>
  </xdr:twoCellAnchor>
  <xdr:twoCellAnchor>
    <xdr:from>
      <xdr:col>4</xdr:col>
      <xdr:colOff>333375</xdr:colOff>
      <xdr:row>31</xdr:row>
      <xdr:rowOff>19050</xdr:rowOff>
    </xdr:from>
    <xdr:to>
      <xdr:col>6</xdr:col>
      <xdr:colOff>314325</xdr:colOff>
      <xdr:row>33</xdr:row>
      <xdr:rowOff>123825</xdr:rowOff>
    </xdr:to>
    <xdr:sp textlink="'HCC Calculator'!C15">
      <xdr:nvSpPr>
        <xdr:cNvPr id="39" name="Rectangle 45"/>
        <xdr:cNvSpPr>
          <a:spLocks/>
        </xdr:cNvSpPr>
      </xdr:nvSpPr>
      <xdr:spPr>
        <a:xfrm>
          <a:off x="2771775" y="5924550"/>
          <a:ext cx="1200150" cy="4857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9.7km/h, 1:15e</a:t>
          </a:r>
        </a:p>
      </xdr:txBody>
    </xdr:sp>
    <xdr:clientData/>
  </xdr:twoCellAnchor>
  <xdr:twoCellAnchor>
    <xdr:from>
      <xdr:col>2</xdr:col>
      <xdr:colOff>104775</xdr:colOff>
      <xdr:row>4</xdr:row>
      <xdr:rowOff>76200</xdr:rowOff>
    </xdr:from>
    <xdr:to>
      <xdr:col>3</xdr:col>
      <xdr:colOff>571500</xdr:colOff>
      <xdr:row>6</xdr:row>
      <xdr:rowOff>180975</xdr:rowOff>
    </xdr:to>
    <xdr:sp textlink="'HCC Calculator'!J15">
      <xdr:nvSpPr>
        <xdr:cNvPr id="40" name="Rectangle 46"/>
        <xdr:cNvSpPr>
          <a:spLocks/>
        </xdr:cNvSpPr>
      </xdr:nvSpPr>
      <xdr:spPr>
        <a:xfrm>
          <a:off x="1323975" y="838200"/>
          <a:ext cx="1076325" cy="4857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10.1km/h, 6:02e</a:t>
          </a:r>
        </a:p>
      </xdr:txBody>
    </xdr:sp>
    <xdr:clientData/>
  </xdr:twoCellAnchor>
  <xdr:twoCellAnchor>
    <xdr:from>
      <xdr:col>4</xdr:col>
      <xdr:colOff>171450</xdr:colOff>
      <xdr:row>3</xdr:row>
      <xdr:rowOff>171450</xdr:rowOff>
    </xdr:from>
    <xdr:to>
      <xdr:col>6</xdr:col>
      <xdr:colOff>114300</xdr:colOff>
      <xdr:row>6</xdr:row>
      <xdr:rowOff>85725</xdr:rowOff>
    </xdr:to>
    <xdr:sp textlink="'HCC Calculator'!K15">
      <xdr:nvSpPr>
        <xdr:cNvPr id="41" name="Rectangle 47"/>
        <xdr:cNvSpPr>
          <a:spLocks/>
        </xdr:cNvSpPr>
      </xdr:nvSpPr>
      <xdr:spPr>
        <a:xfrm>
          <a:off x="2609850" y="742950"/>
          <a:ext cx="1162050" cy="4857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10.7km/h, 6:27e</a:t>
          </a:r>
        </a:p>
      </xdr:txBody>
    </xdr:sp>
    <xdr:clientData/>
  </xdr:twoCellAnchor>
  <xdr:twoCellAnchor>
    <xdr:from>
      <xdr:col>6</xdr:col>
      <xdr:colOff>304800</xdr:colOff>
      <xdr:row>3</xdr:row>
      <xdr:rowOff>171450</xdr:rowOff>
    </xdr:from>
    <xdr:to>
      <xdr:col>8</xdr:col>
      <xdr:colOff>247650</xdr:colOff>
      <xdr:row>7</xdr:row>
      <xdr:rowOff>0</xdr:rowOff>
    </xdr:to>
    <xdr:sp textlink="'HCC Calculator'!L15">
      <xdr:nvSpPr>
        <xdr:cNvPr id="42" name="Rectangle 48"/>
        <xdr:cNvSpPr>
          <a:spLocks/>
        </xdr:cNvSpPr>
      </xdr:nvSpPr>
      <xdr:spPr>
        <a:xfrm>
          <a:off x="3962400" y="742950"/>
          <a:ext cx="1162050" cy="59055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10.8km/h, 6:57e</a:t>
          </a:r>
        </a:p>
      </xdr:txBody>
    </xdr:sp>
    <xdr:clientData/>
  </xdr:twoCellAnchor>
  <xdr:twoCellAnchor>
    <xdr:from>
      <xdr:col>9</xdr:col>
      <xdr:colOff>314325</xdr:colOff>
      <xdr:row>3</xdr:row>
      <xdr:rowOff>161925</xdr:rowOff>
    </xdr:from>
    <xdr:to>
      <xdr:col>11</xdr:col>
      <xdr:colOff>190500</xdr:colOff>
      <xdr:row>6</xdr:row>
      <xdr:rowOff>76200</xdr:rowOff>
    </xdr:to>
    <xdr:sp textlink="'HCC Calculator'!B29">
      <xdr:nvSpPr>
        <xdr:cNvPr id="43" name="Rectangle 49"/>
        <xdr:cNvSpPr>
          <a:spLocks/>
        </xdr:cNvSpPr>
      </xdr:nvSpPr>
      <xdr:spPr>
        <a:xfrm>
          <a:off x="5800725" y="733425"/>
          <a:ext cx="1095375" cy="4857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10.8km/h, 7:45e</a:t>
          </a:r>
        </a:p>
      </xdr:txBody>
    </xdr:sp>
    <xdr:clientData/>
  </xdr:twoCellAnchor>
  <xdr:twoCellAnchor>
    <xdr:from>
      <xdr:col>11</xdr:col>
      <xdr:colOff>19050</xdr:colOff>
      <xdr:row>9</xdr:row>
      <xdr:rowOff>19050</xdr:rowOff>
    </xdr:from>
    <xdr:to>
      <xdr:col>12</xdr:col>
      <xdr:colOff>523875</xdr:colOff>
      <xdr:row>11</xdr:row>
      <xdr:rowOff>123825</xdr:rowOff>
    </xdr:to>
    <xdr:sp textlink="'HCC Calculator'!C29">
      <xdr:nvSpPr>
        <xdr:cNvPr id="44" name="Rectangle 50"/>
        <xdr:cNvSpPr>
          <a:spLocks/>
        </xdr:cNvSpPr>
      </xdr:nvSpPr>
      <xdr:spPr>
        <a:xfrm>
          <a:off x="6724650" y="1733550"/>
          <a:ext cx="1114425" cy="4857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9.9km/h, 8:22e</a:t>
          </a:r>
        </a:p>
      </xdr:txBody>
    </xdr:sp>
    <xdr:clientData/>
  </xdr:twoCellAnchor>
  <xdr:twoCellAnchor>
    <xdr:from>
      <xdr:col>12</xdr:col>
      <xdr:colOff>476250</xdr:colOff>
      <xdr:row>15</xdr:row>
      <xdr:rowOff>66675</xdr:rowOff>
    </xdr:from>
    <xdr:to>
      <xdr:col>14</xdr:col>
      <xdr:colOff>342900</xdr:colOff>
      <xdr:row>17</xdr:row>
      <xdr:rowOff>171450</xdr:rowOff>
    </xdr:to>
    <xdr:sp textlink="'HCC Calculator'!G29">
      <xdr:nvSpPr>
        <xdr:cNvPr id="45" name="Rectangle 51"/>
        <xdr:cNvSpPr>
          <a:spLocks/>
        </xdr:cNvSpPr>
      </xdr:nvSpPr>
      <xdr:spPr>
        <a:xfrm>
          <a:off x="7791450" y="2924175"/>
          <a:ext cx="1085850" cy="4857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7.6km/h, 10:30e</a:t>
          </a:r>
        </a:p>
      </xdr:txBody>
    </xdr:sp>
    <xdr:clientData/>
  </xdr:twoCellAnchor>
  <xdr:twoCellAnchor>
    <xdr:from>
      <xdr:col>14</xdr:col>
      <xdr:colOff>581025</xdr:colOff>
      <xdr:row>15</xdr:row>
      <xdr:rowOff>104775</xdr:rowOff>
    </xdr:from>
    <xdr:to>
      <xdr:col>16</xdr:col>
      <xdr:colOff>390525</xdr:colOff>
      <xdr:row>18</xdr:row>
      <xdr:rowOff>19050</xdr:rowOff>
    </xdr:to>
    <xdr:sp textlink="'HCC Calculator'!H29">
      <xdr:nvSpPr>
        <xdr:cNvPr id="46" name="Rectangle 52"/>
        <xdr:cNvSpPr>
          <a:spLocks/>
        </xdr:cNvSpPr>
      </xdr:nvSpPr>
      <xdr:spPr>
        <a:xfrm>
          <a:off x="9115425" y="2962275"/>
          <a:ext cx="1028700" cy="4857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6.9km/h, 10:59e</a:t>
          </a:r>
        </a:p>
      </xdr:txBody>
    </xdr:sp>
    <xdr:clientData/>
  </xdr:twoCellAnchor>
  <xdr:twoCellAnchor>
    <xdr:from>
      <xdr:col>9</xdr:col>
      <xdr:colOff>161925</xdr:colOff>
      <xdr:row>17</xdr:row>
      <xdr:rowOff>38100</xdr:rowOff>
    </xdr:from>
    <xdr:to>
      <xdr:col>10</xdr:col>
      <xdr:colOff>533400</xdr:colOff>
      <xdr:row>19</xdr:row>
      <xdr:rowOff>142875</xdr:rowOff>
    </xdr:to>
    <xdr:sp textlink="'HCC Calculator'!D29">
      <xdr:nvSpPr>
        <xdr:cNvPr id="47" name="Rectangle 53"/>
        <xdr:cNvSpPr>
          <a:spLocks/>
        </xdr:cNvSpPr>
      </xdr:nvSpPr>
      <xdr:spPr>
        <a:xfrm>
          <a:off x="5648325" y="3276600"/>
          <a:ext cx="981075" cy="4857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9km/h, 8:49e</a:t>
          </a:r>
        </a:p>
      </xdr:txBody>
    </xdr:sp>
    <xdr:clientData/>
  </xdr:twoCellAnchor>
  <xdr:twoCellAnchor>
    <xdr:from>
      <xdr:col>9</xdr:col>
      <xdr:colOff>590550</xdr:colOff>
      <xdr:row>22</xdr:row>
      <xdr:rowOff>123825</xdr:rowOff>
    </xdr:from>
    <xdr:to>
      <xdr:col>11</xdr:col>
      <xdr:colOff>504825</xdr:colOff>
      <xdr:row>25</xdr:row>
      <xdr:rowOff>38100</xdr:rowOff>
    </xdr:to>
    <xdr:sp textlink="'HCC Calculator'!F29">
      <xdr:nvSpPr>
        <xdr:cNvPr id="48" name="Rectangle 54"/>
        <xdr:cNvSpPr>
          <a:spLocks/>
        </xdr:cNvSpPr>
      </xdr:nvSpPr>
      <xdr:spPr>
        <a:xfrm>
          <a:off x="6076950" y="4314825"/>
          <a:ext cx="1133475" cy="4857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8.2km/h, 9:57e</a:t>
          </a:r>
        </a:p>
      </xdr:txBody>
    </xdr:sp>
    <xdr:clientData/>
  </xdr:twoCellAnchor>
  <xdr:twoCellAnchor>
    <xdr:from>
      <xdr:col>12</xdr:col>
      <xdr:colOff>161925</xdr:colOff>
      <xdr:row>25</xdr:row>
      <xdr:rowOff>142875</xdr:rowOff>
    </xdr:from>
    <xdr:to>
      <xdr:col>14</xdr:col>
      <xdr:colOff>95250</xdr:colOff>
      <xdr:row>28</xdr:row>
      <xdr:rowOff>57150</xdr:rowOff>
    </xdr:to>
    <xdr:sp textlink="'HCC Calculator'!I29">
      <xdr:nvSpPr>
        <xdr:cNvPr id="49" name="Rectangle 55"/>
        <xdr:cNvSpPr>
          <a:spLocks/>
        </xdr:cNvSpPr>
      </xdr:nvSpPr>
      <xdr:spPr>
        <a:xfrm>
          <a:off x="7477125" y="4905375"/>
          <a:ext cx="1152525" cy="4857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6.9km/h, 11:28e</a:t>
          </a:r>
        </a:p>
      </xdr:txBody>
    </xdr:sp>
    <xdr:clientData/>
  </xdr:twoCellAnchor>
  <xdr:twoCellAnchor>
    <xdr:from>
      <xdr:col>11</xdr:col>
      <xdr:colOff>581025</xdr:colOff>
      <xdr:row>31</xdr:row>
      <xdr:rowOff>104775</xdr:rowOff>
    </xdr:from>
    <xdr:to>
      <xdr:col>13</xdr:col>
      <xdr:colOff>381000</xdr:colOff>
      <xdr:row>34</xdr:row>
      <xdr:rowOff>19050</xdr:rowOff>
    </xdr:to>
    <xdr:sp textlink="'HCC Calculator'!J29">
      <xdr:nvSpPr>
        <xdr:cNvPr id="50" name="Rectangle 56"/>
        <xdr:cNvSpPr>
          <a:spLocks/>
        </xdr:cNvSpPr>
      </xdr:nvSpPr>
      <xdr:spPr>
        <a:xfrm>
          <a:off x="7286625" y="6010275"/>
          <a:ext cx="1019175" cy="4857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7.2km/h, 11:53e</a:t>
          </a:r>
        </a:p>
      </xdr:txBody>
    </xdr:sp>
    <xdr:clientData/>
  </xdr:twoCellAnchor>
  <xdr:twoCellAnchor>
    <xdr:from>
      <xdr:col>14</xdr:col>
      <xdr:colOff>114300</xdr:colOff>
      <xdr:row>34</xdr:row>
      <xdr:rowOff>114300</xdr:rowOff>
    </xdr:from>
    <xdr:to>
      <xdr:col>15</xdr:col>
      <xdr:colOff>514350</xdr:colOff>
      <xdr:row>37</xdr:row>
      <xdr:rowOff>28575</xdr:rowOff>
    </xdr:to>
    <xdr:sp textlink="'HCC Calculator'!M29">
      <xdr:nvSpPr>
        <xdr:cNvPr id="51" name="Rectangle 57"/>
        <xdr:cNvSpPr>
          <a:spLocks/>
        </xdr:cNvSpPr>
      </xdr:nvSpPr>
      <xdr:spPr>
        <a:xfrm>
          <a:off x="8648700" y="6591300"/>
          <a:ext cx="1009650" cy="4857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7.8km/h, 12:23e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4</xdr:col>
      <xdr:colOff>542925</xdr:colOff>
      <xdr:row>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62025"/>
          <a:ext cx="2371725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8</xdr:row>
      <xdr:rowOff>57150</xdr:rowOff>
    </xdr:from>
    <xdr:to>
      <xdr:col>4</xdr:col>
      <xdr:colOff>561975</xdr:colOff>
      <xdr:row>12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1590675"/>
          <a:ext cx="2381250" cy="857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152400</xdr:colOff>
      <xdr:row>2</xdr:row>
      <xdr:rowOff>114300</xdr:rowOff>
    </xdr:from>
    <xdr:to>
      <xdr:col>13</xdr:col>
      <xdr:colOff>190500</xdr:colOff>
      <xdr:row>19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0400" y="495300"/>
          <a:ext cx="4914900" cy="3133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J79"/>
  <sheetViews>
    <sheetView showGridLines="0" tabSelected="1" zoomScale="90" zoomScaleNormal="90" zoomScalePageLayoutView="0" workbookViewId="0" topLeftCell="A1">
      <selection activeCell="A34" sqref="A34"/>
    </sheetView>
  </sheetViews>
  <sheetFormatPr defaultColWidth="9.140625" defaultRowHeight="15"/>
  <cols>
    <col min="1" max="1" width="36.57421875" style="0" customWidth="1"/>
    <col min="2" max="2" width="21.140625" style="0" customWidth="1"/>
    <col min="3" max="3" width="12.57421875" style="0" bestFit="1" customWidth="1"/>
    <col min="4" max="5" width="10.421875" style="0" customWidth="1"/>
    <col min="6" max="6" width="11.421875" style="0" customWidth="1"/>
    <col min="7" max="7" width="10.00390625" style="0" customWidth="1"/>
    <col min="8" max="8" width="9.7109375" style="0" bestFit="1" customWidth="1"/>
    <col min="9" max="10" width="10.140625" style="0" customWidth="1"/>
    <col min="11" max="11" width="10.28125" style="0" customWidth="1"/>
    <col min="12" max="12" width="10.7109375" style="0" customWidth="1"/>
    <col min="13" max="13" width="10.28125" style="0" customWidth="1"/>
    <col min="14" max="14" width="10.140625" style="0" customWidth="1"/>
    <col min="15" max="16" width="9.7109375" style="0" bestFit="1" customWidth="1"/>
    <col min="18" max="24" width="9.7109375" style="0" bestFit="1" customWidth="1"/>
    <col min="25" max="25" width="12.00390625" style="0" customWidth="1"/>
    <col min="26" max="27" width="11.57421875" style="1" customWidth="1"/>
    <col min="29" max="29" width="12.140625" style="0" customWidth="1"/>
    <col min="30" max="30" width="20.421875" style="0" customWidth="1"/>
  </cols>
  <sheetData>
    <row r="1" ht="18.75">
      <c r="A1" s="34" t="s">
        <v>46</v>
      </c>
    </row>
    <row r="2" ht="15"/>
    <row r="3" spans="1:27" s="2" customFormat="1" ht="30">
      <c r="A3" s="3"/>
      <c r="B3" s="13" t="s">
        <v>0</v>
      </c>
      <c r="C3" s="4" t="s">
        <v>1</v>
      </c>
      <c r="D3" s="4" t="s">
        <v>2</v>
      </c>
      <c r="E3" s="4" t="s">
        <v>3</v>
      </c>
      <c r="F3" s="5" t="s">
        <v>4</v>
      </c>
      <c r="G3" s="15" t="s">
        <v>26</v>
      </c>
      <c r="H3" s="13" t="s">
        <v>5</v>
      </c>
      <c r="I3" s="4" t="s">
        <v>6</v>
      </c>
      <c r="J3" s="4" t="s">
        <v>7</v>
      </c>
      <c r="K3" s="4" t="s">
        <v>8</v>
      </c>
      <c r="L3" s="5" t="s">
        <v>9</v>
      </c>
      <c r="M3" s="15" t="s">
        <v>26</v>
      </c>
      <c r="Z3" s="1"/>
      <c r="AA3" s="1"/>
    </row>
    <row r="4" spans="1:13" ht="15">
      <c r="A4" s="116" t="s">
        <v>21</v>
      </c>
      <c r="B4" s="112">
        <v>0</v>
      </c>
      <c r="C4" s="102">
        <v>12.2</v>
      </c>
      <c r="D4" s="102">
        <v>4.8</v>
      </c>
      <c r="E4" s="102">
        <v>5.5</v>
      </c>
      <c r="F4" s="103">
        <v>7</v>
      </c>
      <c r="G4" s="104">
        <v>0</v>
      </c>
      <c r="H4" s="105">
        <v>8.9</v>
      </c>
      <c r="I4" s="102">
        <v>6</v>
      </c>
      <c r="J4" s="102">
        <v>5.5</v>
      </c>
      <c r="K4" s="102">
        <v>4.5</v>
      </c>
      <c r="L4" s="103">
        <v>5.3</v>
      </c>
      <c r="M4" s="16">
        <v>0</v>
      </c>
    </row>
    <row r="5" spans="1:13" ht="15">
      <c r="A5" s="117" t="s">
        <v>23</v>
      </c>
      <c r="B5" s="8">
        <f>B4</f>
        <v>0</v>
      </c>
      <c r="C5" s="8">
        <f>B5+C4</f>
        <v>12.2</v>
      </c>
      <c r="D5" s="8">
        <f>C5+D4</f>
        <v>17</v>
      </c>
      <c r="E5" s="8">
        <f>D5+E4</f>
        <v>22.5</v>
      </c>
      <c r="F5" s="9">
        <f>E5+F4</f>
        <v>29.5</v>
      </c>
      <c r="G5" s="17">
        <f>G4</f>
        <v>0</v>
      </c>
      <c r="H5" s="14">
        <f>G5+H4</f>
        <v>8.9</v>
      </c>
      <c r="I5" s="8">
        <f>H5+I4</f>
        <v>14.9</v>
      </c>
      <c r="J5" s="8">
        <f>I5+J4</f>
        <v>20.4</v>
      </c>
      <c r="K5" s="8">
        <f>J5+K4</f>
        <v>24.9</v>
      </c>
      <c r="L5" s="9">
        <f>K5+L4</f>
        <v>30.2</v>
      </c>
      <c r="M5" s="17">
        <f>M4</f>
        <v>0</v>
      </c>
    </row>
    <row r="6" spans="1:13" ht="15">
      <c r="A6" s="117" t="s">
        <v>22</v>
      </c>
      <c r="B6" s="8">
        <f>B4</f>
        <v>0</v>
      </c>
      <c r="C6" s="8">
        <f>B6+C4</f>
        <v>12.2</v>
      </c>
      <c r="D6" s="8">
        <f aca="true" t="shared" si="0" ref="D6:L6">C6+D4</f>
        <v>17</v>
      </c>
      <c r="E6" s="8">
        <f t="shared" si="0"/>
        <v>22.5</v>
      </c>
      <c r="F6" s="9">
        <f t="shared" si="0"/>
        <v>29.5</v>
      </c>
      <c r="G6" s="17"/>
      <c r="H6" s="14">
        <f>F6+H4</f>
        <v>38.4</v>
      </c>
      <c r="I6" s="8">
        <f t="shared" si="0"/>
        <v>44.4</v>
      </c>
      <c r="J6" s="8">
        <f t="shared" si="0"/>
        <v>49.9</v>
      </c>
      <c r="K6" s="8">
        <f t="shared" si="0"/>
        <v>54.4</v>
      </c>
      <c r="L6" s="9">
        <f t="shared" si="0"/>
        <v>59.699999999999996</v>
      </c>
      <c r="M6" s="17"/>
    </row>
    <row r="7" spans="1:13" ht="15">
      <c r="A7" s="116" t="s">
        <v>27</v>
      </c>
      <c r="B7" s="106">
        <v>9</v>
      </c>
      <c r="C7" s="106">
        <f>B7</f>
        <v>9</v>
      </c>
      <c r="D7" s="106">
        <f aca="true" t="shared" si="1" ref="D7:L7">C7</f>
        <v>9</v>
      </c>
      <c r="E7" s="106">
        <f t="shared" si="1"/>
        <v>9</v>
      </c>
      <c r="F7" s="107">
        <f t="shared" si="1"/>
        <v>9</v>
      </c>
      <c r="G7" s="21"/>
      <c r="H7" s="20">
        <f>F7</f>
        <v>9</v>
      </c>
      <c r="I7" s="106">
        <f t="shared" si="1"/>
        <v>9</v>
      </c>
      <c r="J7" s="106">
        <f t="shared" si="1"/>
        <v>9</v>
      </c>
      <c r="K7" s="106">
        <f t="shared" si="1"/>
        <v>9</v>
      </c>
      <c r="L7" s="107">
        <f t="shared" si="1"/>
        <v>9</v>
      </c>
      <c r="M7" s="21"/>
    </row>
    <row r="8" spans="1:13" ht="15">
      <c r="A8" s="117" t="s">
        <v>37</v>
      </c>
      <c r="B8" s="113"/>
      <c r="C8" s="109">
        <f>-VLOOKUP(B13,$A$39:$Z$79,C38,TRUE)</f>
        <v>0.7325301204819277</v>
      </c>
      <c r="D8" s="109">
        <f>-VLOOKUP(C13,$A$39:$Z$79,D38,TRUE)</f>
        <v>-0.9950909090909091</v>
      </c>
      <c r="E8" s="109">
        <f>-VLOOKUP(D13,$A$39:$Z$79,E38,TRUE)</f>
        <v>-1.2622499999999997</v>
      </c>
      <c r="F8" s="109">
        <f>-VLOOKUP(E13,$A$39:$Z$79,F38,TRUE)</f>
        <v>-1.2904999999999998</v>
      </c>
      <c r="G8" s="17"/>
      <c r="H8" s="108">
        <f>-VLOOKUP(G13,$A$39:$Z$79,G38,TRUE)</f>
        <v>-0.5721590909090908</v>
      </c>
      <c r="I8" s="109">
        <f>-VLOOKUP(H13,$A$39:$Z$79,I38,TRUE)</f>
        <v>0.4624698795180723</v>
      </c>
      <c r="J8" s="109">
        <f>-VLOOKUP(I13,$A$39:$Z$79,J38,TRUE)</f>
        <v>1.0520481927710845</v>
      </c>
      <c r="K8" s="109">
        <f>-VLOOKUP(J13,$A$39:$Z$79,K38,TRUE)</f>
        <v>1.6849999999999996</v>
      </c>
      <c r="L8" s="110">
        <f>-VLOOKUP(K13,$A$39:$Z$79,L38,TRUE)</f>
        <v>1.7595180722891566</v>
      </c>
      <c r="M8" s="17"/>
    </row>
    <row r="9" spans="1:13" ht="15">
      <c r="A9" s="118" t="s">
        <v>24</v>
      </c>
      <c r="B9" s="114"/>
      <c r="C9" s="22">
        <f>C7+C8</f>
        <v>9.732530120481927</v>
      </c>
      <c r="D9" s="22">
        <f aca="true" t="shared" si="2" ref="D9:L9">D7+D8</f>
        <v>8.004909090909091</v>
      </c>
      <c r="E9" s="22">
        <f t="shared" si="2"/>
        <v>7.73775</v>
      </c>
      <c r="F9" s="23">
        <f t="shared" si="2"/>
        <v>7.7095</v>
      </c>
      <c r="G9" s="24"/>
      <c r="H9" s="25">
        <f t="shared" si="2"/>
        <v>8.427840909090909</v>
      </c>
      <c r="I9" s="22">
        <f t="shared" si="2"/>
        <v>9.462469879518073</v>
      </c>
      <c r="J9" s="22">
        <f t="shared" si="2"/>
        <v>10.052048192771085</v>
      </c>
      <c r="K9" s="22">
        <f t="shared" si="2"/>
        <v>10.684999999999999</v>
      </c>
      <c r="L9" s="23">
        <f t="shared" si="2"/>
        <v>10.759518072289156</v>
      </c>
      <c r="M9" s="24"/>
    </row>
    <row r="10" spans="1:27" s="31" customFormat="1" ht="15">
      <c r="A10" s="119" t="s">
        <v>29</v>
      </c>
      <c r="B10" s="115"/>
      <c r="C10" s="27">
        <f>(C6-$B$6)/((C13-$B$13)*24)</f>
        <v>9.73253012089201</v>
      </c>
      <c r="D10" s="27">
        <f>(D6-$B$6)/((D13-$B$13)*24)</f>
        <v>9.173519108421498</v>
      </c>
      <c r="E10" s="27">
        <f>(E6-$B$6)/((E13-$B$13)*24)</f>
        <v>8.775484192053847</v>
      </c>
      <c r="F10" s="28">
        <f>(F6-$B$6)/((F13-$B$13)*24)</f>
        <v>8.496710742260282</v>
      </c>
      <c r="G10" s="29"/>
      <c r="H10" s="30">
        <f>(H6-$B$6)/((H13-$B$13)*24)</f>
        <v>7.899193934948979</v>
      </c>
      <c r="I10" s="27">
        <f>(I6-$B$6)/((I13-$B$13)*24)</f>
        <v>8.079573719115807</v>
      </c>
      <c r="J10" s="27">
        <f>(J6-$B$6)/((J13-$B$13)*24)</f>
        <v>8.258182770549992</v>
      </c>
      <c r="K10" s="27">
        <f>(K6-$B$6)/((K13-$B$13)*24)</f>
        <v>8.416306741578904</v>
      </c>
      <c r="L10" s="28">
        <f>(L6-$B$6)/((L13-$B$13)*24)</f>
        <v>8.582235087661862</v>
      </c>
      <c r="M10" s="29"/>
      <c r="Z10" s="1"/>
      <c r="AA10" s="1"/>
    </row>
    <row r="11" spans="1:13" ht="15">
      <c r="A11" s="117" t="s">
        <v>43</v>
      </c>
      <c r="B11" s="50"/>
      <c r="C11" s="81">
        <f>C4/C9/24</f>
        <v>0.052230337542295946</v>
      </c>
      <c r="D11" s="81">
        <f>D4/D9/24</f>
        <v>0.02498466849887569</v>
      </c>
      <c r="E11" s="81">
        <f>E4/E9/24</f>
        <v>0.02961670597611278</v>
      </c>
      <c r="F11" s="81">
        <f>F4/F9/24</f>
        <v>0.037832111896577814</v>
      </c>
      <c r="G11" s="82">
        <f>0.3333/24</f>
        <v>0.013887499999999999</v>
      </c>
      <c r="H11" s="81">
        <f>H4/H9/24</f>
        <v>0.04400098878626486</v>
      </c>
      <c r="I11" s="81">
        <f>I4/I9/24</f>
        <v>0.026420163359371515</v>
      </c>
      <c r="J11" s="81">
        <f>J4/J9/24</f>
        <v>0.022798007159523122</v>
      </c>
      <c r="K11" s="81">
        <f>K4/K9/24</f>
        <v>0.01754796443612541</v>
      </c>
      <c r="L11" s="81">
        <f>L4/L9/24</f>
        <v>0.020524463256591716</v>
      </c>
      <c r="M11" s="82">
        <f>0.33333/24</f>
        <v>0.01388875</v>
      </c>
    </row>
    <row r="12" spans="1:13" ht="15">
      <c r="A12" s="117" t="s">
        <v>45</v>
      </c>
      <c r="B12" s="81">
        <f>B11</f>
        <v>0</v>
      </c>
      <c r="C12" s="81">
        <f aca="true" t="shared" si="3" ref="C12:M12">B12+C11</f>
        <v>0.052230337542295946</v>
      </c>
      <c r="D12" s="81">
        <f t="shared" si="3"/>
        <v>0.07721500604117164</v>
      </c>
      <c r="E12" s="81">
        <f t="shared" si="3"/>
        <v>0.10683171201728442</v>
      </c>
      <c r="F12" s="81">
        <f t="shared" si="3"/>
        <v>0.14466382391386223</v>
      </c>
      <c r="G12" s="100">
        <f t="shared" si="3"/>
        <v>0.15855132391386223</v>
      </c>
      <c r="H12" s="81">
        <f t="shared" si="3"/>
        <v>0.20255231270012708</v>
      </c>
      <c r="I12" s="81">
        <f t="shared" si="3"/>
        <v>0.2289724760594986</v>
      </c>
      <c r="J12" s="81">
        <f t="shared" si="3"/>
        <v>0.25177048321902173</v>
      </c>
      <c r="K12" s="81">
        <f t="shared" si="3"/>
        <v>0.2693184476551471</v>
      </c>
      <c r="L12" s="81">
        <f t="shared" si="3"/>
        <v>0.28984291091173886</v>
      </c>
      <c r="M12" s="100">
        <f t="shared" si="3"/>
        <v>0.30373166091173887</v>
      </c>
    </row>
    <row r="13" spans="1:27" ht="15">
      <c r="A13" s="118" t="s">
        <v>25</v>
      </c>
      <c r="B13" s="120">
        <v>42301.75</v>
      </c>
      <c r="C13" s="11">
        <f>B13+C11</f>
        <v>42301.80223033754</v>
      </c>
      <c r="D13" s="11">
        <f aca="true" t="shared" si="4" ref="D13:M13">C13+D11</f>
        <v>42301.82721500604</v>
      </c>
      <c r="E13" s="11">
        <f t="shared" si="4"/>
        <v>42301.856831712015</v>
      </c>
      <c r="F13" s="11">
        <f t="shared" si="4"/>
        <v>42301.894663823914</v>
      </c>
      <c r="G13" s="18">
        <f t="shared" si="4"/>
        <v>42301.90855132391</v>
      </c>
      <c r="H13" s="11">
        <f t="shared" si="4"/>
        <v>42301.9525523127</v>
      </c>
      <c r="I13" s="11">
        <f t="shared" si="4"/>
        <v>42301.97897247606</v>
      </c>
      <c r="J13" s="11">
        <f t="shared" si="4"/>
        <v>42302.00177048322</v>
      </c>
      <c r="K13" s="11">
        <f t="shared" si="4"/>
        <v>42302.01931844766</v>
      </c>
      <c r="L13" s="11">
        <f t="shared" si="4"/>
        <v>42302.03984291092</v>
      </c>
      <c r="M13" s="18">
        <f t="shared" si="4"/>
        <v>42302.05373166092</v>
      </c>
      <c r="Z13" s="37"/>
      <c r="AA13" s="37"/>
    </row>
    <row r="14" spans="1:27" s="87" customFormat="1" ht="93.75" hidden="1">
      <c r="A14" s="92"/>
      <c r="B14" s="95" t="str">
        <f>CONCATENATE(B3,"    ",B4,"/",B6," km")</f>
        <v>Start    0/0 km</v>
      </c>
      <c r="C14" s="95" t="str">
        <f>CONCATENATE(C3,"    ",C4,"/",C6," km")</f>
        <v>Cattai - A    12.2/12.2 km</v>
      </c>
      <c r="D14" s="95" t="str">
        <f>CONCATENATE(D3,"       ",D4,"/",D6," km")</f>
        <v>B       4.8/17 km</v>
      </c>
      <c r="E14" s="95" t="str">
        <f>CONCATENATE(E3,"       ",E4,"/",E6," km")</f>
        <v>C       5.5/22.5 km</v>
      </c>
      <c r="F14" s="95" t="str">
        <f>CONCATENATE(F3,"    ",F4,"/",F6," km")</f>
        <v>Sackville - D    7/29.5 km</v>
      </c>
      <c r="G14" s="95"/>
      <c r="H14" s="95" t="str">
        <f>CONCATENATE(H3,"       ",H4,"/",H6," km")</f>
        <v>E       8.9/38.4 km</v>
      </c>
      <c r="I14" s="95" t="str">
        <f>CONCATENATE(I3,"       ",I4,"/",I6," km")</f>
        <v>F       6/44.4 km</v>
      </c>
      <c r="J14" s="95" t="str">
        <f>CONCATENATE(J3,"       ",J4,"/",J6," km")</f>
        <v>G       5.5/49.9 km</v>
      </c>
      <c r="K14" s="95" t="str">
        <f>CONCATENATE(K3,"       ",K4,"/",K6," km")</f>
        <v>H       4.5/54.4 km</v>
      </c>
      <c r="L14" s="95" t="str">
        <f>CONCATENATE(L3,"    ",L4,"/",L6," km")</f>
        <v>Wisemans - I    5.3/59.7 km</v>
      </c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86"/>
      <c r="AA14" s="86"/>
    </row>
    <row r="15" spans="1:27" s="87" customFormat="1" ht="75" hidden="1">
      <c r="A15" s="92"/>
      <c r="B15" s="101" t="str">
        <f>CONCATENATE(ROUND(B9,1),"km/h, ",TEXT(B12,"H:MM"),"e")</f>
        <v>0km/h, 0:00e</v>
      </c>
      <c r="C15" s="101" t="str">
        <f>CONCATENATE(ROUND(C9,1),"km/h, ",TEXT(C12,"H:MM"),"e")</f>
        <v>9.7km/h, 1:15e</v>
      </c>
      <c r="D15" s="101" t="str">
        <f>CONCATENATE(ROUND(D9,1),"km/h, ",TEXT(D12,"H:MM"),"e")</f>
        <v>8km/h, 1:51e</v>
      </c>
      <c r="E15" s="101" t="str">
        <f>CONCATENATE(ROUND(E9,1),"km/h, ",TEXT(E12,"H:MM"),"e")</f>
        <v>7.7km/h, 2:33e</v>
      </c>
      <c r="F15" s="101" t="str">
        <f>CONCATENATE(ROUND(F9,1),"km/h, ",TEXT(F12,"H:MM"),"e")</f>
        <v>7.7km/h, 3:28e</v>
      </c>
      <c r="G15" s="101"/>
      <c r="H15" s="101" t="str">
        <f>CONCATENATE(ROUND(H9,1),"km/h, ",TEXT(H12,"H:MM"),"e")</f>
        <v>8.4km/h, 4:51e</v>
      </c>
      <c r="I15" s="101" t="str">
        <f>CONCATENATE(ROUND(I9,1),"km/h, ",TEXT(I12,"H:MM"),"e")</f>
        <v>9.5km/h, 5:29e</v>
      </c>
      <c r="J15" s="101" t="str">
        <f>CONCATENATE(ROUND(J9,1),"km/h, ",TEXT(J12,"H:MM"),"e")</f>
        <v>10.1km/h, 6:02e</v>
      </c>
      <c r="K15" s="101" t="str">
        <f>CONCATENATE(ROUND(K9,1),"km/h, ",TEXT(K12,"H:MM"),"e")</f>
        <v>10.7km/h, 6:27e</v>
      </c>
      <c r="L15" s="101" t="str">
        <f>CONCATENATE(ROUND(L9,1),"km/h, ",TEXT(L12,"H:MM"),"e")</f>
        <v>10.8km/h, 6:57e</v>
      </c>
      <c r="M15" s="95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86"/>
      <c r="AA15" s="86"/>
    </row>
    <row r="16" spans="1:27" s="87" customFormat="1" ht="15">
      <c r="A16" s="92"/>
      <c r="B16" s="93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86"/>
      <c r="AA16" s="86"/>
    </row>
    <row r="17" spans="1:27" s="87" customFormat="1" ht="30">
      <c r="A17" s="3"/>
      <c r="B17" s="13" t="s">
        <v>10</v>
      </c>
      <c r="C17" s="4" t="s">
        <v>11</v>
      </c>
      <c r="D17" s="5" t="s">
        <v>12</v>
      </c>
      <c r="E17" s="15" t="s">
        <v>26</v>
      </c>
      <c r="F17" s="13" t="s">
        <v>13</v>
      </c>
      <c r="G17" s="4" t="s">
        <v>14</v>
      </c>
      <c r="H17" s="4" t="s">
        <v>15</v>
      </c>
      <c r="I17" s="4" t="s">
        <v>16</v>
      </c>
      <c r="J17" s="4" t="s">
        <v>17</v>
      </c>
      <c r="K17" s="4" t="s">
        <v>18</v>
      </c>
      <c r="L17" s="4" t="s">
        <v>19</v>
      </c>
      <c r="M17" s="5" t="s">
        <v>20</v>
      </c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86"/>
      <c r="AA17" s="86"/>
    </row>
    <row r="18" spans="1:27" s="87" customFormat="1" ht="15">
      <c r="A18" s="6" t="s">
        <v>21</v>
      </c>
      <c r="B18" s="105">
        <v>5.1</v>
      </c>
      <c r="C18" s="102">
        <v>6.1</v>
      </c>
      <c r="D18" s="103">
        <v>4</v>
      </c>
      <c r="E18" s="104"/>
      <c r="F18" s="105">
        <v>6.6</v>
      </c>
      <c r="G18" s="102">
        <v>4.2</v>
      </c>
      <c r="H18" s="102">
        <v>3.3</v>
      </c>
      <c r="I18" s="102">
        <v>3.3</v>
      </c>
      <c r="J18" s="102">
        <v>3</v>
      </c>
      <c r="K18" s="102">
        <v>0</v>
      </c>
      <c r="L18" s="102">
        <v>0</v>
      </c>
      <c r="M18" s="103">
        <v>4</v>
      </c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86"/>
      <c r="AA18" s="86"/>
    </row>
    <row r="19" spans="1:27" s="87" customFormat="1" ht="15">
      <c r="A19" s="7" t="s">
        <v>23</v>
      </c>
      <c r="B19" s="14">
        <f>M5+B18</f>
        <v>5.1</v>
      </c>
      <c r="C19" s="8">
        <f>B19+C18</f>
        <v>11.2</v>
      </c>
      <c r="D19" s="9">
        <f>C19+D18</f>
        <v>15.2</v>
      </c>
      <c r="E19" s="17"/>
      <c r="F19" s="14">
        <f aca="true" t="shared" si="5" ref="F19:M19">E19+F18</f>
        <v>6.6</v>
      </c>
      <c r="G19" s="8">
        <f t="shared" si="5"/>
        <v>10.8</v>
      </c>
      <c r="H19" s="8">
        <f t="shared" si="5"/>
        <v>14.100000000000001</v>
      </c>
      <c r="I19" s="8">
        <f t="shared" si="5"/>
        <v>17.400000000000002</v>
      </c>
      <c r="J19" s="8">
        <f t="shared" si="5"/>
        <v>20.400000000000002</v>
      </c>
      <c r="K19" s="8">
        <f t="shared" si="5"/>
        <v>20.400000000000002</v>
      </c>
      <c r="L19" s="8">
        <f t="shared" si="5"/>
        <v>20.400000000000002</v>
      </c>
      <c r="M19" s="9">
        <f t="shared" si="5"/>
        <v>24.400000000000002</v>
      </c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86"/>
      <c r="AA19" s="86"/>
    </row>
    <row r="20" spans="1:27" s="87" customFormat="1" ht="15">
      <c r="A20" s="7" t="s">
        <v>22</v>
      </c>
      <c r="B20" s="14">
        <f>L6+B18</f>
        <v>64.8</v>
      </c>
      <c r="C20" s="8">
        <f>B20+C18</f>
        <v>70.89999999999999</v>
      </c>
      <c r="D20" s="9">
        <f>C20+D18</f>
        <v>74.89999999999999</v>
      </c>
      <c r="E20" s="17"/>
      <c r="F20" s="14">
        <f>D20+F18</f>
        <v>81.49999999999999</v>
      </c>
      <c r="G20" s="8">
        <f aca="true" t="shared" si="6" ref="G20:M20">F20+G18</f>
        <v>85.69999999999999</v>
      </c>
      <c r="H20" s="8">
        <f t="shared" si="6"/>
        <v>88.99999999999999</v>
      </c>
      <c r="I20" s="8">
        <f t="shared" si="6"/>
        <v>92.29999999999998</v>
      </c>
      <c r="J20" s="8">
        <f t="shared" si="6"/>
        <v>95.29999999999998</v>
      </c>
      <c r="K20" s="8">
        <f t="shared" si="6"/>
        <v>95.29999999999998</v>
      </c>
      <c r="L20" s="8">
        <f t="shared" si="6"/>
        <v>95.29999999999998</v>
      </c>
      <c r="M20" s="9">
        <f t="shared" si="6"/>
        <v>99.29999999999998</v>
      </c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86"/>
      <c r="AA20" s="86"/>
    </row>
    <row r="21" spans="1:27" s="87" customFormat="1" ht="15">
      <c r="A21" s="6" t="s">
        <v>27</v>
      </c>
      <c r="B21" s="20">
        <f>L7</f>
        <v>9</v>
      </c>
      <c r="C21" s="106">
        <f>B21</f>
        <v>9</v>
      </c>
      <c r="D21" s="107">
        <f>C21</f>
        <v>9</v>
      </c>
      <c r="E21" s="21"/>
      <c r="F21" s="20">
        <f>D21</f>
        <v>9</v>
      </c>
      <c r="G21" s="106">
        <f aca="true" t="shared" si="7" ref="G21:M21">F21</f>
        <v>9</v>
      </c>
      <c r="H21" s="106">
        <f t="shared" si="7"/>
        <v>9</v>
      </c>
      <c r="I21" s="106">
        <f t="shared" si="7"/>
        <v>9</v>
      </c>
      <c r="J21" s="106">
        <f t="shared" si="7"/>
        <v>9</v>
      </c>
      <c r="K21" s="106">
        <f t="shared" si="7"/>
        <v>9</v>
      </c>
      <c r="L21" s="106">
        <f t="shared" si="7"/>
        <v>9</v>
      </c>
      <c r="M21" s="107">
        <f t="shared" si="7"/>
        <v>9</v>
      </c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86"/>
      <c r="AA21" s="86"/>
    </row>
    <row r="22" spans="1:27" s="87" customFormat="1" ht="15">
      <c r="A22" s="7" t="s">
        <v>37</v>
      </c>
      <c r="B22" s="108">
        <f>-VLOOKUP(L13,$A$39:$Z$79,M38,TRUE)</f>
        <v>1.834036144578313</v>
      </c>
      <c r="C22" s="109">
        <f>-VLOOKUP(B27,$A$39:$Z$79,O38,TRUE)</f>
        <v>0.8603614457831326</v>
      </c>
      <c r="D22" s="110">
        <f>-VLOOKUP(C27,$A$39:$Z$79,P38,TRUE)</f>
        <v>0.02</v>
      </c>
      <c r="E22" s="8"/>
      <c r="F22" s="111">
        <f>-VLOOKUP(E27,$A$39:$Z$79,Q38,TRUE)</f>
        <v>-0.7730681818181817</v>
      </c>
      <c r="G22" s="109">
        <f>-VLOOKUP(F27,$A$39:$Z$79,S38,TRUE)</f>
        <v>-1.4234545454545453</v>
      </c>
      <c r="H22" s="109">
        <f aca="true" t="shared" si="8" ref="H22:M22">-VLOOKUP(G27,$A$39:$Z$79,T38,TRUE)</f>
        <v>-2.082113636363636</v>
      </c>
      <c r="I22" s="109">
        <f t="shared" si="8"/>
        <v>-2.1036818181818178</v>
      </c>
      <c r="J22" s="109">
        <f t="shared" si="8"/>
        <v>-1.8149999999999997</v>
      </c>
      <c r="K22" s="109">
        <f t="shared" si="8"/>
        <v>-1.1513636363636364</v>
      </c>
      <c r="L22" s="109">
        <f t="shared" si="8"/>
        <v>-1.1513636363636364</v>
      </c>
      <c r="M22" s="110">
        <f t="shared" si="8"/>
        <v>-1.1513636363636364</v>
      </c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86"/>
      <c r="AA22" s="86"/>
    </row>
    <row r="23" spans="1:27" s="87" customFormat="1" ht="15">
      <c r="A23" s="10" t="s">
        <v>24</v>
      </c>
      <c r="B23" s="25">
        <f>B21+B22</f>
        <v>10.834036144578313</v>
      </c>
      <c r="C23" s="22">
        <f>C21+C22</f>
        <v>9.860361445783132</v>
      </c>
      <c r="D23" s="23">
        <f>D21+D22</f>
        <v>9.02</v>
      </c>
      <c r="E23" s="24"/>
      <c r="F23" s="25">
        <f aca="true" t="shared" si="9" ref="F23:M23">F21+F22</f>
        <v>8.226931818181818</v>
      </c>
      <c r="G23" s="22">
        <f t="shared" si="9"/>
        <v>7.576545454545455</v>
      </c>
      <c r="H23" s="22">
        <f t="shared" si="9"/>
        <v>6.917886363636364</v>
      </c>
      <c r="I23" s="22">
        <f t="shared" si="9"/>
        <v>6.896318181818183</v>
      </c>
      <c r="J23" s="22">
        <f t="shared" si="9"/>
        <v>7.1850000000000005</v>
      </c>
      <c r="K23" s="22">
        <f t="shared" si="9"/>
        <v>7.848636363636364</v>
      </c>
      <c r="L23" s="22">
        <f t="shared" si="9"/>
        <v>7.848636363636364</v>
      </c>
      <c r="M23" s="23">
        <f t="shared" si="9"/>
        <v>7.848636363636364</v>
      </c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86"/>
      <c r="AA23" s="86"/>
    </row>
    <row r="24" spans="1:27" s="87" customFormat="1" ht="15">
      <c r="A24" s="26" t="s">
        <v>29</v>
      </c>
      <c r="B24" s="30">
        <f>(B20-$B$6)/((B27-$B$13)*24)</f>
        <v>8.350194203515615</v>
      </c>
      <c r="C24" s="27">
        <f>(C20-$B$6)/((C27-$B$13)*24)</f>
        <v>8.4616937532867</v>
      </c>
      <c r="D24" s="28">
        <f>(D20-$B$6)/((D27-$B$13)*24)</f>
        <v>8.489757095190333</v>
      </c>
      <c r="E24" s="29"/>
      <c r="F24" s="30">
        <f aca="true" t="shared" si="10" ref="F24:M24">(F20-$B$6)/((F27-$B$13)*24)</f>
        <v>8.184399604220033</v>
      </c>
      <c r="G24" s="27">
        <f t="shared" si="10"/>
        <v>8.15234582691644</v>
      </c>
      <c r="H24" s="27">
        <f t="shared" si="10"/>
        <v>8.098760498257962</v>
      </c>
      <c r="I24" s="27">
        <f t="shared" si="10"/>
        <v>8.048586487894811</v>
      </c>
      <c r="J24" s="27">
        <f t="shared" si="10"/>
        <v>8.018248489009116</v>
      </c>
      <c r="K24" s="27">
        <f t="shared" si="10"/>
        <v>8.018248489009116</v>
      </c>
      <c r="L24" s="27">
        <f t="shared" si="10"/>
        <v>8.018248489009116</v>
      </c>
      <c r="M24" s="28">
        <f t="shared" si="10"/>
        <v>8.011274599683915</v>
      </c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86"/>
      <c r="AA24" s="86"/>
    </row>
    <row r="25" spans="1:27" s="87" customFormat="1" ht="15">
      <c r="A25" s="7" t="s">
        <v>43</v>
      </c>
      <c r="B25" s="83">
        <f>B18/B23/24</f>
        <v>0.019614112152131002</v>
      </c>
      <c r="C25" s="84">
        <f>C18/C23/24</f>
        <v>0.025776607486874954</v>
      </c>
      <c r="D25" s="85">
        <f>D18/D23/24</f>
        <v>0.018477457501847747</v>
      </c>
      <c r="E25" s="99">
        <f>0.33333/24</f>
        <v>0.01388875</v>
      </c>
      <c r="F25" s="83">
        <f aca="true" t="shared" si="11" ref="F25:M25">F18/F23/24</f>
        <v>0.03342679945301601</v>
      </c>
      <c r="G25" s="84">
        <f t="shared" si="11"/>
        <v>0.023097597849823615</v>
      </c>
      <c r="H25" s="84">
        <f t="shared" si="11"/>
        <v>0.01987601310174219</v>
      </c>
      <c r="I25" s="84">
        <f t="shared" si="11"/>
        <v>0.019938175179114014</v>
      </c>
      <c r="J25" s="84">
        <f t="shared" si="11"/>
        <v>0.017397355601948505</v>
      </c>
      <c r="K25" s="84">
        <f t="shared" si="11"/>
        <v>0</v>
      </c>
      <c r="L25" s="84">
        <f t="shared" si="11"/>
        <v>0</v>
      </c>
      <c r="M25" s="85">
        <f t="shared" si="11"/>
        <v>0.021235111291287814</v>
      </c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86"/>
      <c r="AA25" s="86"/>
    </row>
    <row r="26" spans="1:27" s="87" customFormat="1" ht="15">
      <c r="A26" s="7" t="s">
        <v>45</v>
      </c>
      <c r="B26" s="97">
        <f>M12+B25</f>
        <v>0.32334577306386986</v>
      </c>
      <c r="C26" s="81">
        <f aca="true" t="shared" si="12" ref="C26:M26">B26+C25</f>
        <v>0.3491223805507448</v>
      </c>
      <c r="D26" s="98">
        <f t="shared" si="12"/>
        <v>0.36759983805259255</v>
      </c>
      <c r="E26" s="81">
        <f t="shared" si="12"/>
        <v>0.38148858805259256</v>
      </c>
      <c r="F26" s="97">
        <f t="shared" si="12"/>
        <v>0.4149153875056086</v>
      </c>
      <c r="G26" s="81">
        <f t="shared" si="12"/>
        <v>0.4380129853554322</v>
      </c>
      <c r="H26" s="81">
        <f t="shared" si="12"/>
        <v>0.4578889984571744</v>
      </c>
      <c r="I26" s="81">
        <f t="shared" si="12"/>
        <v>0.4778271736362884</v>
      </c>
      <c r="J26" s="81">
        <f t="shared" si="12"/>
        <v>0.4952245292382369</v>
      </c>
      <c r="K26" s="81">
        <f t="shared" si="12"/>
        <v>0.4952245292382369</v>
      </c>
      <c r="L26" s="81">
        <f t="shared" si="12"/>
        <v>0.4952245292382369</v>
      </c>
      <c r="M26" s="98">
        <f t="shared" si="12"/>
        <v>0.5164596405295248</v>
      </c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86"/>
      <c r="AA26" s="86"/>
    </row>
    <row r="27" spans="1:27" s="87" customFormat="1" ht="15">
      <c r="A27" s="10" t="s">
        <v>25</v>
      </c>
      <c r="B27" s="19">
        <f>M13+B25</f>
        <v>42302.07334577307</v>
      </c>
      <c r="C27" s="11">
        <f aca="true" t="shared" si="13" ref="C27:M27">B27+C25</f>
        <v>42302.099122380554</v>
      </c>
      <c r="D27" s="12">
        <f t="shared" si="13"/>
        <v>42302.11759983806</v>
      </c>
      <c r="E27" s="11">
        <f t="shared" si="13"/>
        <v>42302.13148858806</v>
      </c>
      <c r="F27" s="19">
        <f t="shared" si="13"/>
        <v>42302.16491538751</v>
      </c>
      <c r="G27" s="11">
        <f t="shared" si="13"/>
        <v>42302.18801298536</v>
      </c>
      <c r="H27" s="11">
        <f t="shared" si="13"/>
        <v>42302.20788899846</v>
      </c>
      <c r="I27" s="11">
        <f t="shared" si="13"/>
        <v>42302.22782717364</v>
      </c>
      <c r="J27" s="11">
        <f t="shared" si="13"/>
        <v>42302.245224529244</v>
      </c>
      <c r="K27" s="11">
        <f t="shared" si="13"/>
        <v>42302.245224529244</v>
      </c>
      <c r="L27" s="11">
        <f t="shared" si="13"/>
        <v>42302.245224529244</v>
      </c>
      <c r="M27" s="12">
        <f t="shared" si="13"/>
        <v>42302.26645964054</v>
      </c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86"/>
      <c r="AA27" s="86"/>
    </row>
    <row r="28" spans="1:27" s="87" customFormat="1" ht="56.25" hidden="1">
      <c r="A28" s="92"/>
      <c r="B28" s="95" t="str">
        <f>CONCATENATE(B17,"       ",B18,"/",B20," km")</f>
        <v>J       5.1/64.8 km</v>
      </c>
      <c r="C28" s="95" t="str">
        <f>CONCATENATE(C17,"       ",C18,"/",C20," km")</f>
        <v>K       6.1/70.9 km</v>
      </c>
      <c r="D28" s="95" t="str">
        <f>CONCATENATE(D17,"       ",D18,"/",D20," km")</f>
        <v>L       4/74.9 km</v>
      </c>
      <c r="E28" s="96"/>
      <c r="F28" s="95" t="str">
        <f aca="true" t="shared" si="14" ref="F28:L28">CONCATENATE(F17,"       ",F18,"/",F20," km")</f>
        <v>M       6.6/81.5 km</v>
      </c>
      <c r="G28" s="95" t="str">
        <f t="shared" si="14"/>
        <v>N       4.2/85.7 km</v>
      </c>
      <c r="H28" s="95" t="str">
        <f t="shared" si="14"/>
        <v>O       3.3/89 km</v>
      </c>
      <c r="I28" s="95" t="str">
        <f t="shared" si="14"/>
        <v>P       3.3/92.3 km</v>
      </c>
      <c r="J28" s="95" t="str">
        <f t="shared" si="14"/>
        <v>Q       3/95.3 km</v>
      </c>
      <c r="K28" s="95" t="str">
        <f t="shared" si="14"/>
        <v>S       0/95.3 km</v>
      </c>
      <c r="L28" s="95" t="str">
        <f t="shared" si="14"/>
        <v>T       0/95.3 km</v>
      </c>
      <c r="M28" s="95" t="str">
        <f>CONCATENATE(M17,"    ",M18,"/",M20," km")</f>
        <v>Finish    4/99.3 km</v>
      </c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86"/>
      <c r="AA28" s="86"/>
    </row>
    <row r="29" spans="1:27" s="87" customFormat="1" ht="75" hidden="1">
      <c r="A29" s="92"/>
      <c r="B29" s="101" t="str">
        <f aca="true" t="shared" si="15" ref="B29:M29">CONCATENATE(ROUND(B23,1),"km/h, ",TEXT(B26,"H:MM"),"e")</f>
        <v>10.8km/h, 7:45e</v>
      </c>
      <c r="C29" s="101" t="str">
        <f t="shared" si="15"/>
        <v>9.9km/h, 8:22e</v>
      </c>
      <c r="D29" s="101" t="str">
        <f t="shared" si="15"/>
        <v>9km/h, 8:49e</v>
      </c>
      <c r="E29" s="101"/>
      <c r="F29" s="101" t="str">
        <f t="shared" si="15"/>
        <v>8.2km/h, 9:57e</v>
      </c>
      <c r="G29" s="101" t="str">
        <f t="shared" si="15"/>
        <v>7.6km/h, 10:30e</v>
      </c>
      <c r="H29" s="101" t="str">
        <f t="shared" si="15"/>
        <v>6.9km/h, 10:59e</v>
      </c>
      <c r="I29" s="101" t="str">
        <f t="shared" si="15"/>
        <v>6.9km/h, 11:28e</v>
      </c>
      <c r="J29" s="101" t="str">
        <f t="shared" si="15"/>
        <v>7.2km/h, 11:53e</v>
      </c>
      <c r="K29" s="101" t="str">
        <f t="shared" si="15"/>
        <v>7.8km/h, 11:53e</v>
      </c>
      <c r="L29" s="101" t="str">
        <f t="shared" si="15"/>
        <v>7.8km/h, 11:53e</v>
      </c>
      <c r="M29" s="101" t="str">
        <f t="shared" si="15"/>
        <v>7.8km/h, 12:23e</v>
      </c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86"/>
      <c r="AA29" s="86"/>
    </row>
    <row r="30" spans="1:27" s="87" customFormat="1" ht="18.75">
      <c r="A30" s="92"/>
      <c r="B30" s="95"/>
      <c r="C30" s="95"/>
      <c r="D30" s="95"/>
      <c r="E30" s="96"/>
      <c r="F30" s="95"/>
      <c r="G30" s="95"/>
      <c r="H30" s="95"/>
      <c r="I30" s="95"/>
      <c r="J30" s="95"/>
      <c r="K30" s="95"/>
      <c r="L30" s="95"/>
      <c r="M30" s="95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86"/>
      <c r="AA30" s="86"/>
    </row>
    <row r="31" spans="1:25" ht="15">
      <c r="A31" s="32" t="s">
        <v>28</v>
      </c>
      <c r="B31" s="43">
        <f>(M27-B13)</f>
        <v>0.516459640537505</v>
      </c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40"/>
      <c r="N31" s="41"/>
      <c r="O31" s="41"/>
      <c r="P31" s="41"/>
      <c r="Q31" s="40"/>
      <c r="R31" s="41"/>
      <c r="S31" s="41"/>
      <c r="T31" s="41"/>
      <c r="U31" s="41"/>
      <c r="V31" s="41"/>
      <c r="W31" s="41"/>
      <c r="X31" s="41"/>
      <c r="Y31" s="41"/>
    </row>
    <row r="32" spans="1:30" ht="15">
      <c r="A32" s="32" t="s">
        <v>30</v>
      </c>
      <c r="B32" s="33">
        <f>M24</f>
        <v>8.011274599683915</v>
      </c>
      <c r="C32" s="44"/>
      <c r="AD32" s="42"/>
    </row>
    <row r="33" ht="15"/>
    <row r="34" ht="15"/>
    <row r="35" spans="1:30" s="2" customFormat="1" ht="60">
      <c r="A35" s="3"/>
      <c r="B35" s="13" t="s">
        <v>0</v>
      </c>
      <c r="C35" s="4" t="s">
        <v>1</v>
      </c>
      <c r="D35" s="4" t="s">
        <v>2</v>
      </c>
      <c r="E35" s="4" t="s">
        <v>3</v>
      </c>
      <c r="F35" s="5" t="s">
        <v>4</v>
      </c>
      <c r="G35" s="15" t="s">
        <v>26</v>
      </c>
      <c r="H35" s="13" t="s">
        <v>5</v>
      </c>
      <c r="I35" s="4" t="s">
        <v>6</v>
      </c>
      <c r="J35" s="4" t="s">
        <v>7</v>
      </c>
      <c r="K35" s="4" t="s">
        <v>8</v>
      </c>
      <c r="L35" s="5" t="s">
        <v>9</v>
      </c>
      <c r="M35" s="15" t="s">
        <v>26</v>
      </c>
      <c r="N35" s="13" t="s">
        <v>10</v>
      </c>
      <c r="O35" s="4" t="s">
        <v>11</v>
      </c>
      <c r="P35" s="5" t="s">
        <v>12</v>
      </c>
      <c r="Q35" s="15" t="s">
        <v>26</v>
      </c>
      <c r="R35" s="13" t="s">
        <v>13</v>
      </c>
      <c r="S35" s="4" t="s">
        <v>14</v>
      </c>
      <c r="T35" s="4" t="s">
        <v>15</v>
      </c>
      <c r="U35" s="4" t="s">
        <v>16</v>
      </c>
      <c r="V35" s="4" t="s">
        <v>17</v>
      </c>
      <c r="W35" s="4" t="s">
        <v>18</v>
      </c>
      <c r="X35" s="4" t="s">
        <v>19</v>
      </c>
      <c r="Y35" s="4" t="s">
        <v>20</v>
      </c>
      <c r="Z35" s="45" t="s">
        <v>40</v>
      </c>
      <c r="AA35" s="46" t="s">
        <v>39</v>
      </c>
      <c r="AB35" s="60" t="s">
        <v>32</v>
      </c>
      <c r="AC35" s="59" t="s">
        <v>42</v>
      </c>
      <c r="AD35" s="91" t="s">
        <v>44</v>
      </c>
    </row>
    <row r="36" spans="1:29" ht="15">
      <c r="A36" s="7" t="s">
        <v>34</v>
      </c>
      <c r="B36" s="61">
        <v>0.7</v>
      </c>
      <c r="C36" s="61">
        <v>0.72</v>
      </c>
      <c r="D36" s="61">
        <v>0.73</v>
      </c>
      <c r="E36" s="61">
        <v>0.74</v>
      </c>
      <c r="F36" s="61">
        <v>0.75</v>
      </c>
      <c r="G36" s="50"/>
      <c r="H36" s="61">
        <v>0.77</v>
      </c>
      <c r="I36" s="61">
        <v>0.8</v>
      </c>
      <c r="J36" s="61">
        <v>0.83</v>
      </c>
      <c r="K36" s="61">
        <v>0.87</v>
      </c>
      <c r="L36" s="61">
        <v>0.91</v>
      </c>
      <c r="M36" s="50"/>
      <c r="N36" s="61">
        <v>0.93</v>
      </c>
      <c r="O36" s="61">
        <v>0.94</v>
      </c>
      <c r="P36" s="61">
        <v>0.95</v>
      </c>
      <c r="Q36" s="50"/>
      <c r="R36" s="61">
        <v>0.96</v>
      </c>
      <c r="S36" s="61">
        <v>0.97</v>
      </c>
      <c r="T36" s="61">
        <v>0.98</v>
      </c>
      <c r="U36" s="61">
        <v>1</v>
      </c>
      <c r="V36" s="61">
        <v>1</v>
      </c>
      <c r="W36" s="61">
        <v>1</v>
      </c>
      <c r="X36" s="61">
        <v>1</v>
      </c>
      <c r="Y36" s="61">
        <v>1</v>
      </c>
      <c r="Z36" s="49"/>
      <c r="AA36" s="62"/>
      <c r="AB36" s="7"/>
      <c r="AC36" s="89"/>
    </row>
    <row r="37" spans="1:29" ht="15">
      <c r="A37" s="7" t="s">
        <v>35</v>
      </c>
      <c r="B37" s="63">
        <v>-0.1</v>
      </c>
      <c r="C37" s="63">
        <v>-0.08</v>
      </c>
      <c r="D37" s="63">
        <v>-0.06999999999999999</v>
      </c>
      <c r="E37" s="63">
        <v>-0.06</v>
      </c>
      <c r="F37" s="63">
        <v>-0.05</v>
      </c>
      <c r="G37" s="64">
        <v>0</v>
      </c>
      <c r="H37" s="63">
        <v>-0.045</v>
      </c>
      <c r="I37" s="63">
        <v>-0.04</v>
      </c>
      <c r="J37" s="63">
        <v>-0.034999999999999996</v>
      </c>
      <c r="K37" s="63">
        <v>-0.03</v>
      </c>
      <c r="L37" s="63">
        <v>-0.025</v>
      </c>
      <c r="M37" s="50">
        <v>0</v>
      </c>
      <c r="N37" s="63">
        <v>-0.02</v>
      </c>
      <c r="O37" s="63">
        <v>-0.02</v>
      </c>
      <c r="P37" s="63">
        <v>-0.015</v>
      </c>
      <c r="Q37" s="50">
        <v>0</v>
      </c>
      <c r="R37" s="63">
        <v>-0.01</v>
      </c>
      <c r="S37" s="63">
        <v>-0.01</v>
      </c>
      <c r="T37" s="63">
        <v>-0.01</v>
      </c>
      <c r="U37" s="63">
        <v>-0.01</v>
      </c>
      <c r="V37" s="63">
        <v>-0.01</v>
      </c>
      <c r="W37" s="63">
        <v>-0.01</v>
      </c>
      <c r="X37" s="63">
        <v>-0.01</v>
      </c>
      <c r="Y37" s="63">
        <v>-0.01</v>
      </c>
      <c r="Z37" s="49"/>
      <c r="AA37" s="65"/>
      <c r="AB37" s="7"/>
      <c r="AC37" s="89"/>
    </row>
    <row r="38" spans="1:29" ht="15">
      <c r="A38" s="66" t="s">
        <v>36</v>
      </c>
      <c r="B38" s="67">
        <v>1</v>
      </c>
      <c r="C38" s="67">
        <f>B38+1</f>
        <v>2</v>
      </c>
      <c r="D38" s="67">
        <f aca="true" t="shared" si="16" ref="D38:Y38">C38+1</f>
        <v>3</v>
      </c>
      <c r="E38" s="67">
        <f t="shared" si="16"/>
        <v>4</v>
      </c>
      <c r="F38" s="67">
        <f t="shared" si="16"/>
        <v>5</v>
      </c>
      <c r="G38" s="67">
        <f t="shared" si="16"/>
        <v>6</v>
      </c>
      <c r="H38" s="67">
        <f t="shared" si="16"/>
        <v>7</v>
      </c>
      <c r="I38" s="67">
        <f t="shared" si="16"/>
        <v>8</v>
      </c>
      <c r="J38" s="67">
        <f t="shared" si="16"/>
        <v>9</v>
      </c>
      <c r="K38" s="67">
        <f t="shared" si="16"/>
        <v>10</v>
      </c>
      <c r="L38" s="67">
        <f t="shared" si="16"/>
        <v>11</v>
      </c>
      <c r="M38" s="67">
        <f t="shared" si="16"/>
        <v>12</v>
      </c>
      <c r="N38" s="67">
        <f t="shared" si="16"/>
        <v>13</v>
      </c>
      <c r="O38" s="67">
        <f t="shared" si="16"/>
        <v>14</v>
      </c>
      <c r="P38" s="67">
        <f t="shared" si="16"/>
        <v>15</v>
      </c>
      <c r="Q38" s="67">
        <f t="shared" si="16"/>
        <v>16</v>
      </c>
      <c r="R38" s="67">
        <f t="shared" si="16"/>
        <v>17</v>
      </c>
      <c r="S38" s="67">
        <f t="shared" si="16"/>
        <v>18</v>
      </c>
      <c r="T38" s="67">
        <f t="shared" si="16"/>
        <v>19</v>
      </c>
      <c r="U38" s="67">
        <f t="shared" si="16"/>
        <v>20</v>
      </c>
      <c r="V38" s="67">
        <f t="shared" si="16"/>
        <v>21</v>
      </c>
      <c r="W38" s="67">
        <f t="shared" si="16"/>
        <v>22</v>
      </c>
      <c r="X38" s="67">
        <f t="shared" si="16"/>
        <v>23</v>
      </c>
      <c r="Y38" s="67">
        <f t="shared" si="16"/>
        <v>24</v>
      </c>
      <c r="Z38" s="49"/>
      <c r="AA38" s="62"/>
      <c r="AB38" s="7"/>
      <c r="AC38" s="89"/>
    </row>
    <row r="39" spans="1:34" ht="15">
      <c r="A39" s="68">
        <v>42301.708333333336</v>
      </c>
      <c r="B39" s="69">
        <f aca="true" t="shared" si="17" ref="B39:B52">$Z51*B$36+B$37</f>
        <v>-0.9855421686746988</v>
      </c>
      <c r="C39" s="69">
        <f aca="true" t="shared" si="18" ref="C39:C50">$Z54*C$36+C$37</f>
        <v>-0.08</v>
      </c>
      <c r="D39" s="69">
        <f aca="true" t="shared" si="19" ref="D39:D50">$Z54*D$36+D$37</f>
        <v>-0.06999999999999999</v>
      </c>
      <c r="E39" s="69">
        <f aca="true" t="shared" si="20" ref="E39:E49">$Z55*E$36+E$37</f>
        <v>0.30831818181818177</v>
      </c>
      <c r="F39" s="69">
        <f aca="true" t="shared" si="21" ref="F39:F48">$Z56*F$36+F$37</f>
        <v>0.5721590909090908</v>
      </c>
      <c r="G39" s="69"/>
      <c r="H39" s="69">
        <f aca="true" t="shared" si="22" ref="H39:H48">$Z57*H$36+H$37</f>
        <v>0.84925</v>
      </c>
      <c r="I39" s="69">
        <f aca="true" t="shared" si="23" ref="I39:K47">$Z58*I$36+I$37</f>
        <v>1.1545454545454545</v>
      </c>
      <c r="J39" s="69">
        <f t="shared" si="23"/>
        <v>1.2043409090909092</v>
      </c>
      <c r="K39" s="69">
        <f t="shared" si="23"/>
        <v>1.2690681818181817</v>
      </c>
      <c r="L39" s="69">
        <f aca="true" t="shared" si="24" ref="L39:L46">$Z59*L$36+L$37</f>
        <v>1.6357499999999998</v>
      </c>
      <c r="M39" s="69"/>
      <c r="N39" s="69">
        <f aca="true" t="shared" si="25" ref="N39:N44">$Z60*N$36+N$37</f>
        <v>1.9858409090909088</v>
      </c>
      <c r="O39" s="69">
        <f aca="true" t="shared" si="26" ref="O39:P43">$Z61*O$36+O$37</f>
        <v>2.0074090909090905</v>
      </c>
      <c r="P39" s="69">
        <f t="shared" si="26"/>
        <v>2.033977272727272</v>
      </c>
      <c r="Q39" s="69"/>
      <c r="R39" s="69">
        <f aca="true" t="shared" si="27" ref="R39:S42">$Z62*R$36+R$37</f>
        <v>1.7419999999999998</v>
      </c>
      <c r="S39" s="69">
        <f t="shared" si="27"/>
        <v>1.7602499999999996</v>
      </c>
      <c r="T39" s="69">
        <f aca="true" t="shared" si="28" ref="T39:U41">$Z63*T$36+T$37</f>
        <v>1.4533181818181817</v>
      </c>
      <c r="U39" s="69">
        <f t="shared" si="28"/>
        <v>1.4831818181818182</v>
      </c>
      <c r="V39" s="69">
        <f aca="true" t="shared" si="29" ref="V39:Y41">$Z64*V$36+V$37</f>
        <v>1.1513636363636364</v>
      </c>
      <c r="W39" s="69">
        <f t="shared" si="29"/>
        <v>1.1513636363636364</v>
      </c>
      <c r="X39" s="69">
        <f t="shared" si="29"/>
        <v>1.1513636363636364</v>
      </c>
      <c r="Y39" s="69">
        <f t="shared" si="29"/>
        <v>1.1513636363636364</v>
      </c>
      <c r="Z39" s="77"/>
      <c r="AA39" s="62"/>
      <c r="AB39" s="49"/>
      <c r="AC39" s="89"/>
      <c r="AH39" t="s">
        <v>41</v>
      </c>
    </row>
    <row r="40" spans="1:35" ht="15">
      <c r="A40" s="68">
        <f>A39+0.5/24</f>
        <v>42301.72916666667</v>
      </c>
      <c r="B40" s="69">
        <f t="shared" si="17"/>
        <v>-0.7325301204819277</v>
      </c>
      <c r="C40" s="69">
        <f t="shared" si="18"/>
        <v>0.2783636363636363</v>
      </c>
      <c r="D40" s="69">
        <f t="shared" si="19"/>
        <v>0.29334090909090904</v>
      </c>
      <c r="E40" s="69">
        <f t="shared" si="20"/>
        <v>0.5538636363636362</v>
      </c>
      <c r="F40" s="69">
        <f t="shared" si="21"/>
        <v>0.8210227272727273</v>
      </c>
      <c r="G40" s="69"/>
      <c r="H40" s="69">
        <f t="shared" si="22"/>
        <v>1.1047500000000001</v>
      </c>
      <c r="I40" s="69">
        <f t="shared" si="23"/>
        <v>1.42</v>
      </c>
      <c r="J40" s="69">
        <f t="shared" si="23"/>
        <v>1.4797499999999997</v>
      </c>
      <c r="K40" s="69">
        <f t="shared" si="23"/>
        <v>1.5577499999999997</v>
      </c>
      <c r="L40" s="69">
        <f t="shared" si="24"/>
        <v>1.9377045454545452</v>
      </c>
      <c r="M40" s="69"/>
      <c r="N40" s="69">
        <f t="shared" si="25"/>
        <v>1.9858409090909088</v>
      </c>
      <c r="O40" s="69">
        <f t="shared" si="26"/>
        <v>1.6954999999999996</v>
      </c>
      <c r="P40" s="69">
        <f t="shared" si="26"/>
        <v>1.7187499999999998</v>
      </c>
      <c r="Q40" s="69"/>
      <c r="R40" s="69">
        <f t="shared" si="27"/>
        <v>1.4234545454545453</v>
      </c>
      <c r="S40" s="69">
        <f t="shared" si="27"/>
        <v>1.4383863636363636</v>
      </c>
      <c r="T40" s="69">
        <f t="shared" si="28"/>
        <v>1.1281363636363637</v>
      </c>
      <c r="U40" s="69">
        <f t="shared" si="28"/>
        <v>1.1513636363636364</v>
      </c>
      <c r="V40" s="69">
        <f t="shared" si="29"/>
        <v>0.8195454545454545</v>
      </c>
      <c r="W40" s="69">
        <f t="shared" si="29"/>
        <v>0.8195454545454545</v>
      </c>
      <c r="X40" s="69">
        <f t="shared" si="29"/>
        <v>0.8195454545454545</v>
      </c>
      <c r="Y40" s="69">
        <f t="shared" si="29"/>
        <v>0.8195454545454545</v>
      </c>
      <c r="Z40" s="77"/>
      <c r="AA40" s="62"/>
      <c r="AB40" s="49"/>
      <c r="AC40" s="89"/>
      <c r="AI40" t="s">
        <v>38</v>
      </c>
    </row>
    <row r="41" spans="1:36" ht="15">
      <c r="A41" s="68">
        <f aca="true" t="shared" si="30" ref="A41:A79">A40+0.5/24</f>
        <v>42301.75000000001</v>
      </c>
      <c r="B41" s="69">
        <f t="shared" si="17"/>
        <v>-0.47951807228915655</v>
      </c>
      <c r="C41" s="69">
        <f t="shared" si="18"/>
        <v>0.5172727272727272</v>
      </c>
      <c r="D41" s="69">
        <f t="shared" si="19"/>
        <v>0.5355681818181818</v>
      </c>
      <c r="E41" s="69">
        <f t="shared" si="20"/>
        <v>0.799409090909091</v>
      </c>
      <c r="F41" s="69">
        <f t="shared" si="21"/>
        <v>1.0698863636363636</v>
      </c>
      <c r="G41" s="69"/>
      <c r="H41" s="69">
        <f t="shared" si="22"/>
        <v>1.36025</v>
      </c>
      <c r="I41" s="69">
        <f t="shared" si="23"/>
        <v>1.685454545454545</v>
      </c>
      <c r="J41" s="69">
        <f t="shared" si="23"/>
        <v>1.7551590909090904</v>
      </c>
      <c r="K41" s="69">
        <f t="shared" si="23"/>
        <v>1.8464318181818178</v>
      </c>
      <c r="L41" s="69">
        <f t="shared" si="24"/>
        <v>1.9377045454545452</v>
      </c>
      <c r="M41" s="69"/>
      <c r="N41" s="69">
        <f t="shared" si="25"/>
        <v>1.67725</v>
      </c>
      <c r="O41" s="69">
        <f t="shared" si="26"/>
        <v>1.3835909090909089</v>
      </c>
      <c r="P41" s="69">
        <f t="shared" si="26"/>
        <v>1.4035227272727273</v>
      </c>
      <c r="Q41" s="69"/>
      <c r="R41" s="69">
        <f t="shared" si="27"/>
        <v>1.1049090909090908</v>
      </c>
      <c r="S41" s="69">
        <f t="shared" si="27"/>
        <v>1.1165227272727272</v>
      </c>
      <c r="T41" s="69">
        <f t="shared" si="28"/>
        <v>0.8029545454545454</v>
      </c>
      <c r="U41" s="69">
        <f t="shared" si="28"/>
        <v>0.8195454545454545</v>
      </c>
      <c r="V41" s="69">
        <f t="shared" si="29"/>
        <v>0.4877272727272727</v>
      </c>
      <c r="W41" s="69">
        <f t="shared" si="29"/>
        <v>0.4877272727272727</v>
      </c>
      <c r="X41" s="69">
        <f t="shared" si="29"/>
        <v>0.4877272727272727</v>
      </c>
      <c r="Y41" s="69">
        <f t="shared" si="29"/>
        <v>0.4877272727272727</v>
      </c>
      <c r="Z41" s="77"/>
      <c r="AA41" s="62"/>
      <c r="AB41" s="49"/>
      <c r="AC41" s="89"/>
      <c r="AJ41" t="s">
        <v>38</v>
      </c>
    </row>
    <row r="42" spans="1:36" ht="15">
      <c r="A42" s="68">
        <f t="shared" si="30"/>
        <v>42301.77083333334</v>
      </c>
      <c r="B42" s="69">
        <f t="shared" si="17"/>
        <v>-0.1</v>
      </c>
      <c r="C42" s="69">
        <f t="shared" si="18"/>
        <v>0.7561818181818182</v>
      </c>
      <c r="D42" s="69">
        <f t="shared" si="19"/>
        <v>0.7777954545454546</v>
      </c>
      <c r="E42" s="69">
        <f t="shared" si="20"/>
        <v>1.0449545454545455</v>
      </c>
      <c r="F42" s="69">
        <f t="shared" si="21"/>
        <v>1.3187499999999999</v>
      </c>
      <c r="G42" s="69"/>
      <c r="H42" s="69">
        <f t="shared" si="22"/>
        <v>1.6157499999999998</v>
      </c>
      <c r="I42" s="69">
        <f t="shared" si="23"/>
        <v>1.685454545454545</v>
      </c>
      <c r="J42" s="69">
        <f t="shared" si="23"/>
        <v>1.7551590909090904</v>
      </c>
      <c r="K42" s="69">
        <f t="shared" si="23"/>
        <v>1.8464318181818178</v>
      </c>
      <c r="L42" s="69">
        <f t="shared" si="24"/>
        <v>1.6357499999999998</v>
      </c>
      <c r="M42" s="69"/>
      <c r="N42" s="69">
        <f t="shared" si="25"/>
        <v>1.368659090909091</v>
      </c>
      <c r="O42" s="69">
        <f t="shared" si="26"/>
        <v>1.0716818181818182</v>
      </c>
      <c r="P42" s="69">
        <f t="shared" si="26"/>
        <v>1.0882954545454546</v>
      </c>
      <c r="Q42" s="69"/>
      <c r="R42" s="69">
        <f t="shared" si="27"/>
        <v>0.7863636363636363</v>
      </c>
      <c r="S42" s="69">
        <f t="shared" si="27"/>
        <v>0.7946590909090908</v>
      </c>
      <c r="T42" s="69">
        <f>$Z66*T$36+T$37</f>
        <v>0.47777272727272724</v>
      </c>
      <c r="U42" s="69">
        <f>$Z66*U$36+U$37</f>
        <v>0.4877272727272727</v>
      </c>
      <c r="V42" s="70">
        <f>$Z42*V$36+V$37</f>
        <v>-0.01</v>
      </c>
      <c r="W42" s="70">
        <f>$Z42*W$36+W$37</f>
        <v>-0.01</v>
      </c>
      <c r="X42" s="70">
        <f>$Z42*X$36+X$37</f>
        <v>-0.01</v>
      </c>
      <c r="Y42" s="70">
        <f>$Z42*Y$36+Y$37</f>
        <v>-0.01</v>
      </c>
      <c r="Z42" s="78">
        <v>0</v>
      </c>
      <c r="AA42" s="62">
        <v>0</v>
      </c>
      <c r="AB42" s="90">
        <v>1.66</v>
      </c>
      <c r="AC42" s="89"/>
      <c r="AG42">
        <f>3/48</f>
        <v>0.0625</v>
      </c>
      <c r="AH42" s="35">
        <f aca="true" t="shared" si="31" ref="AH42:AH47">AI42/(SUM($AI$42:$AI$53,$AH$48))</f>
        <v>0.027412280701754384</v>
      </c>
      <c r="AI42" s="35">
        <f aca="true" t="shared" si="32" ref="AI42:AI53">AG42/$AG$54</f>
        <v>0.03125</v>
      </c>
      <c r="AJ42" s="35">
        <f aca="true" t="shared" si="33" ref="AJ42:AJ47">AI42/(SUM($AI$42:$AI$47,$AI$49:$AI$53))</f>
        <v>0.03614457831325301</v>
      </c>
    </row>
    <row r="43" spans="1:36" ht="15">
      <c r="A43" s="68">
        <f t="shared" si="30"/>
        <v>42301.79166666668</v>
      </c>
      <c r="B43" s="69">
        <f t="shared" si="17"/>
        <v>0.24840909090909083</v>
      </c>
      <c r="C43" s="69">
        <f t="shared" si="18"/>
        <v>0.9950909090909091</v>
      </c>
      <c r="D43" s="69">
        <f t="shared" si="19"/>
        <v>1.0200227272727271</v>
      </c>
      <c r="E43" s="69">
        <f t="shared" si="20"/>
        <v>1.2904999999999998</v>
      </c>
      <c r="F43" s="69">
        <f t="shared" si="21"/>
        <v>1.567613636363636</v>
      </c>
      <c r="G43" s="69"/>
      <c r="H43" s="69">
        <f t="shared" si="22"/>
        <v>1.6157499999999998</v>
      </c>
      <c r="I43" s="69">
        <f t="shared" si="23"/>
        <v>1.42</v>
      </c>
      <c r="J43" s="69">
        <f t="shared" si="23"/>
        <v>1.4797499999999997</v>
      </c>
      <c r="K43" s="69">
        <f t="shared" si="23"/>
        <v>1.5577499999999997</v>
      </c>
      <c r="L43" s="69">
        <f t="shared" si="24"/>
        <v>1.3337954545454547</v>
      </c>
      <c r="M43" s="69"/>
      <c r="N43" s="69">
        <f t="shared" si="25"/>
        <v>1.0600681818181819</v>
      </c>
      <c r="O43" s="69">
        <f t="shared" si="26"/>
        <v>0.7597727272727272</v>
      </c>
      <c r="P43" s="69">
        <f t="shared" si="26"/>
        <v>0.7730681818181817</v>
      </c>
      <c r="Q43" s="69"/>
      <c r="R43" s="69">
        <f>$Z66*R$36+R$37</f>
        <v>0.46781818181818174</v>
      </c>
      <c r="S43" s="69">
        <f>$Z66*S$36+S$37</f>
        <v>0.47279545454545446</v>
      </c>
      <c r="T43" s="70">
        <f>$Z42*T$36+T$37</f>
        <v>-0.01</v>
      </c>
      <c r="U43" s="70">
        <f>$Z42*U$36+U$37</f>
        <v>-0.01</v>
      </c>
      <c r="V43" s="69">
        <f aca="true" t="shared" si="34" ref="V43:V63">$Z43*V$36+V$37</f>
        <v>-0.5521686746987952</v>
      </c>
      <c r="W43" s="69">
        <f aca="true" t="shared" si="35" ref="W43:Y62">$Z43*W$36+W$37</f>
        <v>-0.5521686746987952</v>
      </c>
      <c r="X43" s="69">
        <f t="shared" si="35"/>
        <v>-0.5521686746987952</v>
      </c>
      <c r="Y43" s="69">
        <f t="shared" si="35"/>
        <v>-0.5521686746987952</v>
      </c>
      <c r="Z43" s="80">
        <f>AA43*$AD$54</f>
        <v>-0.5421686746987951</v>
      </c>
      <c r="AA43" s="54">
        <v>0.03614457831325301</v>
      </c>
      <c r="AB43" s="47">
        <f aca="true" t="shared" si="36" ref="AB43:AB53">AB42-($AB$42-$AB$54)*AC43</f>
        <v>1.6153125</v>
      </c>
      <c r="AC43" s="48">
        <v>0.03125</v>
      </c>
      <c r="AG43">
        <f>5/48</f>
        <v>0.10416666666666667</v>
      </c>
      <c r="AH43" s="35">
        <f t="shared" si="31"/>
        <v>0.04568713450292397</v>
      </c>
      <c r="AI43" s="35">
        <f t="shared" si="32"/>
        <v>0.052083333333333336</v>
      </c>
      <c r="AJ43" s="35">
        <f t="shared" si="33"/>
        <v>0.060240963855421686</v>
      </c>
    </row>
    <row r="44" spans="1:36" ht="15">
      <c r="A44" s="68">
        <f t="shared" si="30"/>
        <v>42301.812500000015</v>
      </c>
      <c r="B44" s="69">
        <f t="shared" si="17"/>
        <v>0.4806818181818181</v>
      </c>
      <c r="C44" s="69">
        <f t="shared" si="18"/>
        <v>1.2339999999999998</v>
      </c>
      <c r="D44" s="69">
        <f t="shared" si="19"/>
        <v>1.2622499999999997</v>
      </c>
      <c r="E44" s="69">
        <f t="shared" si="20"/>
        <v>1.536045454545454</v>
      </c>
      <c r="F44" s="69">
        <f t="shared" si="21"/>
        <v>1.567613636363636</v>
      </c>
      <c r="G44" s="69"/>
      <c r="H44" s="69">
        <f t="shared" si="22"/>
        <v>1.36025</v>
      </c>
      <c r="I44" s="69">
        <f t="shared" si="23"/>
        <v>1.1545454545454545</v>
      </c>
      <c r="J44" s="69">
        <f t="shared" si="23"/>
        <v>1.2043409090909092</v>
      </c>
      <c r="K44" s="69">
        <f t="shared" si="23"/>
        <v>1.2690681818181817</v>
      </c>
      <c r="L44" s="69">
        <f t="shared" si="24"/>
        <v>1.0318409090909093</v>
      </c>
      <c r="M44" s="69"/>
      <c r="N44" s="69">
        <f t="shared" si="25"/>
        <v>0.7514772727272727</v>
      </c>
      <c r="O44" s="69">
        <f>$Z66*O$36+O$37</f>
        <v>0.4478636363636363</v>
      </c>
      <c r="P44" s="69">
        <f>$Z66*P$36+P$37</f>
        <v>0.457840909090909</v>
      </c>
      <c r="Q44" s="69"/>
      <c r="R44" s="70">
        <f>$Z42*R$36+R$37</f>
        <v>-0.01</v>
      </c>
      <c r="S44" s="70">
        <f>$Z42*S$36+S$37</f>
        <v>-0.01</v>
      </c>
      <c r="T44" s="69">
        <f aca="true" t="shared" si="37" ref="T44:U79">$Z43*T$36+T$37</f>
        <v>-0.5413253012048193</v>
      </c>
      <c r="U44" s="69">
        <f t="shared" si="37"/>
        <v>-0.5521686746987952</v>
      </c>
      <c r="V44" s="69">
        <f t="shared" si="34"/>
        <v>-0.9136144578313253</v>
      </c>
      <c r="W44" s="69">
        <f t="shared" si="35"/>
        <v>-0.9136144578313253</v>
      </c>
      <c r="X44" s="69">
        <f t="shared" si="35"/>
        <v>-0.9136144578313253</v>
      </c>
      <c r="Y44" s="69">
        <f t="shared" si="35"/>
        <v>-0.9136144578313253</v>
      </c>
      <c r="Z44" s="77">
        <f aca="true" t="shared" si="38" ref="Z44:Z53">AA44*$AD$54</f>
        <v>-0.9036144578313253</v>
      </c>
      <c r="AA44" s="55">
        <v>0.060240963855421686</v>
      </c>
      <c r="AB44" s="49">
        <f t="shared" si="36"/>
        <v>1.5408333333333333</v>
      </c>
      <c r="AC44" s="51">
        <v>0.052083333333333336</v>
      </c>
      <c r="AG44">
        <f>7/48</f>
        <v>0.14583333333333334</v>
      </c>
      <c r="AH44" s="35">
        <f t="shared" si="31"/>
        <v>0.06396198830409357</v>
      </c>
      <c r="AI44" s="35">
        <f t="shared" si="32"/>
        <v>0.07291666666666667</v>
      </c>
      <c r="AJ44" s="35">
        <f t="shared" si="33"/>
        <v>0.08433734939759037</v>
      </c>
    </row>
    <row r="45" spans="1:36" ht="15">
      <c r="A45" s="68">
        <f t="shared" si="30"/>
        <v>42301.83333333335</v>
      </c>
      <c r="B45" s="69">
        <f t="shared" si="17"/>
        <v>0.7129545454545454</v>
      </c>
      <c r="C45" s="69">
        <f t="shared" si="18"/>
        <v>1.4729090909090905</v>
      </c>
      <c r="D45" s="69">
        <f t="shared" si="19"/>
        <v>1.5044772727272722</v>
      </c>
      <c r="E45" s="69">
        <f t="shared" si="20"/>
        <v>1.536045454545454</v>
      </c>
      <c r="F45" s="69">
        <f t="shared" si="21"/>
        <v>1.3187499999999999</v>
      </c>
      <c r="G45" s="69"/>
      <c r="H45" s="69">
        <f t="shared" si="22"/>
        <v>1.1047500000000001</v>
      </c>
      <c r="I45" s="69">
        <f t="shared" si="23"/>
        <v>0.8890909090909092</v>
      </c>
      <c r="J45" s="69">
        <f t="shared" si="23"/>
        <v>0.9289318181818181</v>
      </c>
      <c r="K45" s="69">
        <f t="shared" si="23"/>
        <v>0.9803863636363637</v>
      </c>
      <c r="L45" s="69">
        <f t="shared" si="24"/>
        <v>0.7298863636363636</v>
      </c>
      <c r="M45" s="69"/>
      <c r="N45" s="69">
        <f>$Z66*N$36+N$37</f>
        <v>0.4428863636363636</v>
      </c>
      <c r="O45" s="70">
        <f>$Z42*O$36+O$37</f>
        <v>-0.02</v>
      </c>
      <c r="P45" s="70">
        <f>$Z42*P$36+P$37</f>
        <v>-0.015</v>
      </c>
      <c r="Q45" s="69"/>
      <c r="R45" s="69">
        <f aca="true" t="shared" si="39" ref="R45:S79">$Z43*R$36+R$37</f>
        <v>-0.5304819277108433</v>
      </c>
      <c r="S45" s="69">
        <f t="shared" si="39"/>
        <v>-0.5359036144578313</v>
      </c>
      <c r="T45" s="69">
        <f t="shared" si="37"/>
        <v>-0.8955421686746988</v>
      </c>
      <c r="U45" s="69">
        <f t="shared" si="37"/>
        <v>-0.9136144578313253</v>
      </c>
      <c r="V45" s="69">
        <f t="shared" si="34"/>
        <v>-1.2750602409638556</v>
      </c>
      <c r="W45" s="69">
        <f t="shared" si="35"/>
        <v>-1.2750602409638556</v>
      </c>
      <c r="X45" s="69">
        <f t="shared" si="35"/>
        <v>-1.2750602409638556</v>
      </c>
      <c r="Y45" s="69">
        <f t="shared" si="35"/>
        <v>-1.2750602409638556</v>
      </c>
      <c r="Z45" s="77">
        <f t="shared" si="38"/>
        <v>-1.2650602409638556</v>
      </c>
      <c r="AA45" s="55">
        <v>0.08433734939759037</v>
      </c>
      <c r="AB45" s="49">
        <f t="shared" si="36"/>
        <v>1.4365625</v>
      </c>
      <c r="AC45" s="51">
        <v>0.07291666666666667</v>
      </c>
      <c r="AG45">
        <f>9/48</f>
        <v>0.1875</v>
      </c>
      <c r="AH45" s="35">
        <f t="shared" si="31"/>
        <v>0.08223684210526315</v>
      </c>
      <c r="AI45" s="35">
        <f t="shared" si="32"/>
        <v>0.09375</v>
      </c>
      <c r="AJ45" s="35">
        <f t="shared" si="33"/>
        <v>0.10843373493975904</v>
      </c>
    </row>
    <row r="46" spans="1:36" ht="15">
      <c r="A46" s="68">
        <f t="shared" si="30"/>
        <v>42301.854166666686</v>
      </c>
      <c r="B46" s="69">
        <f t="shared" si="17"/>
        <v>0.9452272727272727</v>
      </c>
      <c r="C46" s="69">
        <f t="shared" si="18"/>
        <v>1.4729090909090905</v>
      </c>
      <c r="D46" s="69">
        <f t="shared" si="19"/>
        <v>1.5044772727272722</v>
      </c>
      <c r="E46" s="69">
        <f t="shared" si="20"/>
        <v>1.2904999999999998</v>
      </c>
      <c r="F46" s="69">
        <f t="shared" si="21"/>
        <v>1.0698863636363636</v>
      </c>
      <c r="G46" s="69"/>
      <c r="H46" s="69">
        <f t="shared" si="22"/>
        <v>0.84925</v>
      </c>
      <c r="I46" s="69">
        <f t="shared" si="23"/>
        <v>0.6236363636363635</v>
      </c>
      <c r="J46" s="69">
        <f t="shared" si="23"/>
        <v>0.6535227272727272</v>
      </c>
      <c r="K46" s="69">
        <f t="shared" si="23"/>
        <v>0.6917045454545454</v>
      </c>
      <c r="L46" s="69">
        <f t="shared" si="24"/>
        <v>0.42793181818181814</v>
      </c>
      <c r="M46" s="69"/>
      <c r="N46" s="70">
        <f>$Z42*N$36+N$37</f>
        <v>-0.02</v>
      </c>
      <c r="O46" s="69">
        <f aca="true" t="shared" si="40" ref="O46:P79">$Z43*O$36+O$37</f>
        <v>-0.5296385542168675</v>
      </c>
      <c r="P46" s="69">
        <f t="shared" si="40"/>
        <v>-0.5300602409638554</v>
      </c>
      <c r="Q46" s="69"/>
      <c r="R46" s="69">
        <f t="shared" si="39"/>
        <v>-0.8774698795180723</v>
      </c>
      <c r="S46" s="69">
        <f t="shared" si="39"/>
        <v>-0.8865060240963856</v>
      </c>
      <c r="T46" s="69">
        <f t="shared" si="37"/>
        <v>-1.2497590361445785</v>
      </c>
      <c r="U46" s="69">
        <f t="shared" si="37"/>
        <v>-1.2750602409638556</v>
      </c>
      <c r="V46" s="69">
        <f t="shared" si="34"/>
        <v>-1.6365060240963856</v>
      </c>
      <c r="W46" s="69">
        <f t="shared" si="35"/>
        <v>-1.6365060240963856</v>
      </c>
      <c r="X46" s="69">
        <f t="shared" si="35"/>
        <v>-1.6365060240963856</v>
      </c>
      <c r="Y46" s="69">
        <f t="shared" si="35"/>
        <v>-1.6365060240963856</v>
      </c>
      <c r="Z46" s="77">
        <f t="shared" si="38"/>
        <v>-1.6265060240963856</v>
      </c>
      <c r="AA46" s="55">
        <v>0.10843373493975904</v>
      </c>
      <c r="AB46" s="49">
        <f t="shared" si="36"/>
        <v>1.3025</v>
      </c>
      <c r="AC46" s="51">
        <v>0.09375</v>
      </c>
      <c r="AG46">
        <f>11/48</f>
        <v>0.22916666666666666</v>
      </c>
      <c r="AH46" s="35">
        <f t="shared" si="31"/>
        <v>0.10051169590643273</v>
      </c>
      <c r="AI46" s="35">
        <f t="shared" si="32"/>
        <v>0.11458333333333333</v>
      </c>
      <c r="AJ46" s="35">
        <f t="shared" si="33"/>
        <v>0.1325301204819277</v>
      </c>
    </row>
    <row r="47" spans="1:36" ht="15">
      <c r="A47" s="68">
        <f t="shared" si="30"/>
        <v>42301.87500000002</v>
      </c>
      <c r="B47" s="69">
        <f t="shared" si="17"/>
        <v>1.1774999999999995</v>
      </c>
      <c r="C47" s="69">
        <f t="shared" si="18"/>
        <v>1.2339999999999998</v>
      </c>
      <c r="D47" s="69">
        <f t="shared" si="19"/>
        <v>1.2622499999999997</v>
      </c>
      <c r="E47" s="69">
        <f t="shared" si="20"/>
        <v>1.0449545454545455</v>
      </c>
      <c r="F47" s="69">
        <f t="shared" si="21"/>
        <v>0.8210227272727273</v>
      </c>
      <c r="G47" s="69"/>
      <c r="H47" s="69">
        <f t="shared" si="22"/>
        <v>0.5937499999999999</v>
      </c>
      <c r="I47" s="69">
        <f t="shared" si="23"/>
        <v>0.3581818181818182</v>
      </c>
      <c r="J47" s="69">
        <f t="shared" si="23"/>
        <v>0.3781136363636363</v>
      </c>
      <c r="K47" s="69">
        <f t="shared" si="23"/>
        <v>0.40302272727272725</v>
      </c>
      <c r="L47" s="70">
        <f>$Z42*L$36+L$37</f>
        <v>-0.025</v>
      </c>
      <c r="M47" s="69"/>
      <c r="N47" s="71">
        <f aca="true" t="shared" si="41" ref="N47:N79">$Z43*N$36+N$37</f>
        <v>-0.5242168674698795</v>
      </c>
      <c r="O47" s="69">
        <f t="shared" si="40"/>
        <v>-0.8693975903614458</v>
      </c>
      <c r="P47" s="69">
        <f t="shared" si="40"/>
        <v>-0.8734337349397591</v>
      </c>
      <c r="Q47" s="69"/>
      <c r="R47" s="69">
        <f t="shared" si="39"/>
        <v>-1.2244578313253014</v>
      </c>
      <c r="S47" s="69">
        <f t="shared" si="39"/>
        <v>-1.2371084337349398</v>
      </c>
      <c r="T47" s="69">
        <f t="shared" si="37"/>
        <v>-1.6039759036144579</v>
      </c>
      <c r="U47" s="69">
        <f t="shared" si="37"/>
        <v>-1.6365060240963856</v>
      </c>
      <c r="V47" s="69">
        <f t="shared" si="34"/>
        <v>-1.9979518072289155</v>
      </c>
      <c r="W47" s="69">
        <f t="shared" si="35"/>
        <v>-1.9979518072289155</v>
      </c>
      <c r="X47" s="69">
        <f t="shared" si="35"/>
        <v>-1.9979518072289155</v>
      </c>
      <c r="Y47" s="69">
        <f t="shared" si="35"/>
        <v>-1.9979518072289155</v>
      </c>
      <c r="Z47" s="77">
        <f t="shared" si="38"/>
        <v>-1.9879518072289155</v>
      </c>
      <c r="AA47" s="55">
        <v>0.1325301204819277</v>
      </c>
      <c r="AB47" s="49">
        <f t="shared" si="36"/>
        <v>1.1386458333333334</v>
      </c>
      <c r="AC47" s="51">
        <v>0.11458333333333333</v>
      </c>
      <c r="AG47">
        <f>13/48</f>
        <v>0.2708333333333333</v>
      </c>
      <c r="AH47" s="35">
        <f t="shared" si="31"/>
        <v>0.11878654970760232</v>
      </c>
      <c r="AI47" s="35">
        <f t="shared" si="32"/>
        <v>0.13541666666666666</v>
      </c>
      <c r="AJ47" s="35">
        <f t="shared" si="33"/>
        <v>0.15662650602409636</v>
      </c>
    </row>
    <row r="48" spans="1:36" ht="15">
      <c r="A48" s="68">
        <f t="shared" si="30"/>
        <v>42301.89583333336</v>
      </c>
      <c r="B48" s="69">
        <f t="shared" si="17"/>
        <v>1.4097727272727267</v>
      </c>
      <c r="C48" s="69">
        <f t="shared" si="18"/>
        <v>0.9950909090909091</v>
      </c>
      <c r="D48" s="69">
        <f t="shared" si="19"/>
        <v>1.0200227272727271</v>
      </c>
      <c r="E48" s="69">
        <f t="shared" si="20"/>
        <v>0.799409090909091</v>
      </c>
      <c r="F48" s="69">
        <f t="shared" si="21"/>
        <v>0.5721590909090908</v>
      </c>
      <c r="G48" s="69"/>
      <c r="H48" s="69">
        <f t="shared" si="22"/>
        <v>0.33825</v>
      </c>
      <c r="I48" s="70">
        <f aca="true" t="shared" si="42" ref="I48:K79">$Z42*I$36+I$37</f>
        <v>-0.04</v>
      </c>
      <c r="J48" s="70">
        <f t="shared" si="42"/>
        <v>-0.034999999999999996</v>
      </c>
      <c r="K48" s="70">
        <f t="shared" si="42"/>
        <v>-0.03</v>
      </c>
      <c r="L48" s="71">
        <f aca="true" t="shared" si="43" ref="L48:L79">Z43*L$36+L$37</f>
        <v>-0.5183734939759036</v>
      </c>
      <c r="M48" s="69"/>
      <c r="N48" s="71">
        <f t="shared" si="41"/>
        <v>-0.8603614457831326</v>
      </c>
      <c r="O48" s="69">
        <f t="shared" si="40"/>
        <v>-1.2091566265060243</v>
      </c>
      <c r="P48" s="69">
        <f t="shared" si="40"/>
        <v>-1.2168072289156626</v>
      </c>
      <c r="Q48" s="69"/>
      <c r="R48" s="69">
        <f t="shared" si="39"/>
        <v>-1.5714457831325301</v>
      </c>
      <c r="S48" s="69">
        <f t="shared" si="39"/>
        <v>-1.5877108433734939</v>
      </c>
      <c r="T48" s="69">
        <f t="shared" si="37"/>
        <v>-1.9581927710843372</v>
      </c>
      <c r="U48" s="69">
        <f t="shared" si="37"/>
        <v>-1.9979518072289155</v>
      </c>
      <c r="V48" s="69">
        <f t="shared" si="34"/>
        <v>-2.359397590361445</v>
      </c>
      <c r="W48" s="69">
        <f t="shared" si="35"/>
        <v>-2.359397590361445</v>
      </c>
      <c r="X48" s="69">
        <f t="shared" si="35"/>
        <v>-2.359397590361445</v>
      </c>
      <c r="Y48" s="69">
        <f t="shared" si="35"/>
        <v>-2.359397590361445</v>
      </c>
      <c r="Z48" s="77">
        <f t="shared" si="38"/>
        <v>-2.3493975903614452</v>
      </c>
      <c r="AA48" s="55">
        <v>0.15662650602409636</v>
      </c>
      <c r="AB48" s="49">
        <f t="shared" si="36"/>
        <v>0.9450000000000001</v>
      </c>
      <c r="AC48" s="51">
        <v>0.13541666666666666</v>
      </c>
      <c r="AG48">
        <f>13/48</f>
        <v>0.2708333333333333</v>
      </c>
      <c r="AH48" s="35">
        <v>0.14</v>
      </c>
      <c r="AI48" s="35">
        <f t="shared" si="32"/>
        <v>0.13541666666666666</v>
      </c>
      <c r="AJ48" s="35">
        <f>AI49/(SUM($AI$42:$AI$47,$AI$49:$AI$53))</f>
        <v>0.1325301204819277</v>
      </c>
    </row>
    <row r="49" spans="1:36" ht="15">
      <c r="A49" s="68">
        <f t="shared" si="30"/>
        <v>42301.91666666669</v>
      </c>
      <c r="B49" s="69">
        <f t="shared" si="17"/>
        <v>1.4097727272727267</v>
      </c>
      <c r="C49" s="69">
        <f t="shared" si="18"/>
        <v>0.7561818181818182</v>
      </c>
      <c r="D49" s="69">
        <f t="shared" si="19"/>
        <v>0.7777954545454546</v>
      </c>
      <c r="E49" s="69">
        <f t="shared" si="20"/>
        <v>0.5538636363636362</v>
      </c>
      <c r="F49" s="69">
        <f>$Z66*F$36+F$37</f>
        <v>0.32329545454545455</v>
      </c>
      <c r="G49" s="69"/>
      <c r="H49" s="70">
        <f aca="true" t="shared" si="44" ref="H49:H79">$Z42*H$36+H$37</f>
        <v>-0.045</v>
      </c>
      <c r="I49" s="69">
        <f t="shared" si="42"/>
        <v>-0.47373493975903613</v>
      </c>
      <c r="J49" s="69">
        <f t="shared" si="42"/>
        <v>-0.48499999999999993</v>
      </c>
      <c r="K49" s="69">
        <f t="shared" si="42"/>
        <v>-0.5016867469879518</v>
      </c>
      <c r="L49" s="71">
        <f t="shared" si="43"/>
        <v>-0.8472891566265061</v>
      </c>
      <c r="M49" s="69"/>
      <c r="N49" s="71">
        <f t="shared" si="41"/>
        <v>-1.1965060240963858</v>
      </c>
      <c r="O49" s="69">
        <f t="shared" si="40"/>
        <v>-1.5489156626506024</v>
      </c>
      <c r="P49" s="69">
        <f t="shared" si="40"/>
        <v>-1.560180722891566</v>
      </c>
      <c r="Q49" s="69"/>
      <c r="R49" s="69">
        <f t="shared" si="39"/>
        <v>-1.9184337349397589</v>
      </c>
      <c r="S49" s="69">
        <f t="shared" si="39"/>
        <v>-1.938313253012048</v>
      </c>
      <c r="T49" s="69">
        <f t="shared" si="37"/>
        <v>-2.312409638554216</v>
      </c>
      <c r="U49" s="69">
        <f t="shared" si="37"/>
        <v>-2.359397590361445</v>
      </c>
      <c r="V49" s="69">
        <f t="shared" si="34"/>
        <v>-1.9979518072289155</v>
      </c>
      <c r="W49" s="69">
        <f t="shared" si="35"/>
        <v>-1.9979518072289155</v>
      </c>
      <c r="X49" s="69">
        <f t="shared" si="35"/>
        <v>-1.9979518072289155</v>
      </c>
      <c r="Y49" s="69">
        <f t="shared" si="35"/>
        <v>-1.9979518072289155</v>
      </c>
      <c r="Z49" s="77">
        <f t="shared" si="38"/>
        <v>-1.9879518072289155</v>
      </c>
      <c r="AA49" s="55">
        <v>0.1325301204819277</v>
      </c>
      <c r="AB49" s="49">
        <f t="shared" si="36"/>
        <v>0.7513541666666668</v>
      </c>
      <c r="AC49" s="51">
        <v>0.13541666666666666</v>
      </c>
      <c r="AG49">
        <f>11/48</f>
        <v>0.22916666666666666</v>
      </c>
      <c r="AH49" s="35">
        <f aca="true" t="shared" si="45" ref="AH49:AH54">AI48/(SUM($AI$42:$AI$53,$AH$48))</f>
        <v>0.11878654970760232</v>
      </c>
      <c r="AI49" s="35">
        <f t="shared" si="32"/>
        <v>0.11458333333333333</v>
      </c>
      <c r="AJ49" s="35">
        <f>AI50/(SUM($AI$42:$AI$47,$AI$49:$AI$53))</f>
        <v>0.10843373493975904</v>
      </c>
    </row>
    <row r="50" spans="1:36" ht="15">
      <c r="A50" s="68">
        <f t="shared" si="30"/>
        <v>42301.93750000003</v>
      </c>
      <c r="B50" s="69">
        <f t="shared" si="17"/>
        <v>1.1774999999999995</v>
      </c>
      <c r="C50" s="69">
        <f t="shared" si="18"/>
        <v>0.5172727272727272</v>
      </c>
      <c r="D50" s="69">
        <f t="shared" si="19"/>
        <v>0.5355681818181818</v>
      </c>
      <c r="E50" s="70">
        <f aca="true" t="shared" si="46" ref="E50:E73">$Z41*E$36+E$37</f>
        <v>-0.06</v>
      </c>
      <c r="F50" s="70">
        <f>$Z42*F$36+F$37</f>
        <v>-0.05</v>
      </c>
      <c r="G50" s="69"/>
      <c r="H50" s="69">
        <f t="shared" si="44"/>
        <v>-0.4624698795180723</v>
      </c>
      <c r="I50" s="69">
        <f t="shared" si="42"/>
        <v>-0.7628915662650604</v>
      </c>
      <c r="J50" s="69">
        <f t="shared" si="42"/>
        <v>-0.785</v>
      </c>
      <c r="K50" s="69">
        <f t="shared" si="42"/>
        <v>-0.816144578313253</v>
      </c>
      <c r="L50" s="71">
        <f t="shared" si="43"/>
        <v>-1.1762048192771086</v>
      </c>
      <c r="M50" s="69"/>
      <c r="N50" s="71">
        <f t="shared" si="41"/>
        <v>-1.5326506024096387</v>
      </c>
      <c r="O50" s="69">
        <f t="shared" si="40"/>
        <v>-1.8886746987951806</v>
      </c>
      <c r="P50" s="69">
        <f t="shared" si="40"/>
        <v>-1.9035542168674695</v>
      </c>
      <c r="Q50" s="69"/>
      <c r="R50" s="69">
        <f t="shared" si="39"/>
        <v>-2.265421686746987</v>
      </c>
      <c r="S50" s="69">
        <f t="shared" si="39"/>
        <v>-2.2889156626506018</v>
      </c>
      <c r="T50" s="69">
        <f t="shared" si="37"/>
        <v>-1.9581927710843372</v>
      </c>
      <c r="U50" s="69">
        <f t="shared" si="37"/>
        <v>-1.9979518072289155</v>
      </c>
      <c r="V50" s="69">
        <f t="shared" si="34"/>
        <v>-1.6365060240963856</v>
      </c>
      <c r="W50" s="69">
        <f t="shared" si="35"/>
        <v>-1.6365060240963856</v>
      </c>
      <c r="X50" s="69">
        <f t="shared" si="35"/>
        <v>-1.6365060240963856</v>
      </c>
      <c r="Y50" s="69">
        <f t="shared" si="35"/>
        <v>-1.6365060240963856</v>
      </c>
      <c r="Z50" s="77">
        <f t="shared" si="38"/>
        <v>-1.6265060240963856</v>
      </c>
      <c r="AA50" s="55">
        <v>0.10843373493975904</v>
      </c>
      <c r="AB50" s="49">
        <f t="shared" si="36"/>
        <v>0.5875000000000001</v>
      </c>
      <c r="AC50" s="51">
        <v>0.11458333333333333</v>
      </c>
      <c r="AG50">
        <f>9/48</f>
        <v>0.1875</v>
      </c>
      <c r="AH50" s="35">
        <f t="shared" si="45"/>
        <v>0.10051169590643273</v>
      </c>
      <c r="AI50" s="35">
        <f t="shared" si="32"/>
        <v>0.09375</v>
      </c>
      <c r="AJ50" s="35">
        <f>AI51/(SUM($AI$42:$AI$47,$AI$49:$AI$53))</f>
        <v>0.08433734939759037</v>
      </c>
    </row>
    <row r="51" spans="1:36" ht="15">
      <c r="A51" s="68">
        <f t="shared" si="30"/>
        <v>42301.958333333365</v>
      </c>
      <c r="B51" s="69">
        <f t="shared" si="17"/>
        <v>0.9452272727272727</v>
      </c>
      <c r="C51" s="69">
        <f>$Z66*C$36+C$37</f>
        <v>0.2783636363636363</v>
      </c>
      <c r="D51" s="70">
        <f aca="true" t="shared" si="47" ref="D51:D79">$Z41*D$36+D$37</f>
        <v>-0.06999999999999999</v>
      </c>
      <c r="E51" s="69">
        <f t="shared" si="46"/>
        <v>-0.06</v>
      </c>
      <c r="F51" s="69">
        <f aca="true" t="shared" si="48" ref="F51:F79">$Z43*F$36+F$37</f>
        <v>-0.4566265060240963</v>
      </c>
      <c r="G51" s="69"/>
      <c r="H51" s="69">
        <f t="shared" si="44"/>
        <v>-0.7407831325301205</v>
      </c>
      <c r="I51" s="69">
        <f t="shared" si="42"/>
        <v>-1.0520481927710845</v>
      </c>
      <c r="J51" s="69">
        <f t="shared" si="42"/>
        <v>-1.085</v>
      </c>
      <c r="K51" s="69">
        <f t="shared" si="42"/>
        <v>-1.1306024096385543</v>
      </c>
      <c r="L51" s="71">
        <f t="shared" si="43"/>
        <v>-1.5051204819277109</v>
      </c>
      <c r="M51" s="69"/>
      <c r="N51" s="71">
        <f t="shared" si="41"/>
        <v>-1.8687951807228915</v>
      </c>
      <c r="O51" s="69">
        <f t="shared" si="40"/>
        <v>-2.2284337349397583</v>
      </c>
      <c r="P51" s="69">
        <f t="shared" si="40"/>
        <v>-2.246927710843373</v>
      </c>
      <c r="Q51" s="69"/>
      <c r="R51" s="69">
        <f t="shared" si="39"/>
        <v>-1.9184337349397589</v>
      </c>
      <c r="S51" s="69">
        <f t="shared" si="39"/>
        <v>-1.938313253012048</v>
      </c>
      <c r="T51" s="69">
        <f t="shared" si="37"/>
        <v>-1.6039759036144579</v>
      </c>
      <c r="U51" s="69">
        <f t="shared" si="37"/>
        <v>-1.6365060240963856</v>
      </c>
      <c r="V51" s="69">
        <f t="shared" si="34"/>
        <v>-1.2750602409638556</v>
      </c>
      <c r="W51" s="69">
        <f t="shared" si="35"/>
        <v>-1.2750602409638556</v>
      </c>
      <c r="X51" s="69">
        <f t="shared" si="35"/>
        <v>-1.2750602409638556</v>
      </c>
      <c r="Y51" s="69">
        <f t="shared" si="35"/>
        <v>-1.2750602409638556</v>
      </c>
      <c r="Z51" s="77">
        <f t="shared" si="38"/>
        <v>-1.2650602409638556</v>
      </c>
      <c r="AA51" s="55">
        <v>0.08433734939759037</v>
      </c>
      <c r="AB51" s="49">
        <f t="shared" si="36"/>
        <v>0.45343750000000016</v>
      </c>
      <c r="AC51" s="51">
        <v>0.09375</v>
      </c>
      <c r="AG51">
        <f>7/48</f>
        <v>0.14583333333333334</v>
      </c>
      <c r="AH51" s="35">
        <f t="shared" si="45"/>
        <v>0.08223684210526315</v>
      </c>
      <c r="AI51" s="35">
        <f t="shared" si="32"/>
        <v>0.07291666666666667</v>
      </c>
      <c r="AJ51" s="35">
        <f>AI52/(SUM($AI$42:$AI$47,$AI$49:$AI$53))</f>
        <v>0.060240963855421686</v>
      </c>
    </row>
    <row r="52" spans="1:36" ht="15">
      <c r="A52" s="68">
        <f t="shared" si="30"/>
        <v>42301.9791666667</v>
      </c>
      <c r="B52" s="69">
        <f t="shared" si="17"/>
        <v>0.7129545454545454</v>
      </c>
      <c r="C52" s="70">
        <f>$Z41*C$36+C$37</f>
        <v>-0.08</v>
      </c>
      <c r="D52" s="69">
        <f t="shared" si="47"/>
        <v>-0.06999999999999999</v>
      </c>
      <c r="E52" s="69">
        <f t="shared" si="46"/>
        <v>-0.4612048192771084</v>
      </c>
      <c r="F52" s="69">
        <f t="shared" si="48"/>
        <v>-0.727710843373494</v>
      </c>
      <c r="G52" s="69"/>
      <c r="H52" s="69">
        <f t="shared" si="44"/>
        <v>-1.0190963855421689</v>
      </c>
      <c r="I52" s="69">
        <f t="shared" si="42"/>
        <v>-1.3412048192771087</v>
      </c>
      <c r="J52" s="69">
        <f t="shared" si="42"/>
        <v>-1.3849999999999998</v>
      </c>
      <c r="K52" s="69">
        <f t="shared" si="42"/>
        <v>-1.4450602409638555</v>
      </c>
      <c r="L52" s="71">
        <f t="shared" si="43"/>
        <v>-1.834036144578313</v>
      </c>
      <c r="M52" s="69"/>
      <c r="N52" s="71">
        <f t="shared" si="41"/>
        <v>-2.204939759036144</v>
      </c>
      <c r="O52" s="69">
        <f t="shared" si="40"/>
        <v>-1.8886746987951806</v>
      </c>
      <c r="P52" s="69">
        <f t="shared" si="40"/>
        <v>-1.9035542168674695</v>
      </c>
      <c r="Q52" s="69"/>
      <c r="R52" s="69">
        <f t="shared" si="39"/>
        <v>-1.5714457831325301</v>
      </c>
      <c r="S52" s="69">
        <f t="shared" si="39"/>
        <v>-1.5877108433734939</v>
      </c>
      <c r="T52" s="69">
        <f t="shared" si="37"/>
        <v>-1.2497590361445785</v>
      </c>
      <c r="U52" s="69">
        <f t="shared" si="37"/>
        <v>-1.2750602409638556</v>
      </c>
      <c r="V52" s="69">
        <f t="shared" si="34"/>
        <v>-0.9136144578313253</v>
      </c>
      <c r="W52" s="69">
        <f t="shared" si="35"/>
        <v>-0.9136144578313253</v>
      </c>
      <c r="X52" s="69">
        <f t="shared" si="35"/>
        <v>-0.9136144578313253</v>
      </c>
      <c r="Y52" s="69">
        <f t="shared" si="35"/>
        <v>-0.9136144578313253</v>
      </c>
      <c r="Z52" s="77">
        <f t="shared" si="38"/>
        <v>-0.9036144578313253</v>
      </c>
      <c r="AA52" s="55">
        <v>0.060240963855421686</v>
      </c>
      <c r="AB52" s="49">
        <f t="shared" si="36"/>
        <v>0.34916666666666685</v>
      </c>
      <c r="AC52" s="51">
        <v>0.07291666666666667</v>
      </c>
      <c r="AG52">
        <f>5/48</f>
        <v>0.10416666666666667</v>
      </c>
      <c r="AH52" s="35">
        <f t="shared" si="45"/>
        <v>0.06396198830409357</v>
      </c>
      <c r="AI52" s="35">
        <f t="shared" si="32"/>
        <v>0.052083333333333336</v>
      </c>
      <c r="AJ52" s="35">
        <f>AI53/(SUM($AI$42:$AI$47,$AI$49:$AI$53))</f>
        <v>0.03614457831325301</v>
      </c>
    </row>
    <row r="53" spans="1:35" ht="15">
      <c r="A53" s="68">
        <f t="shared" si="30"/>
        <v>42302.00000000004</v>
      </c>
      <c r="B53" s="70">
        <f aca="true" t="shared" si="49" ref="B53:B79">$Z40*B$36+B$37</f>
        <v>-0.1</v>
      </c>
      <c r="C53" s="69">
        <f aca="true" t="shared" si="50" ref="C53:C79">$Z42*C$36+C$37</f>
        <v>-0.08</v>
      </c>
      <c r="D53" s="69">
        <f t="shared" si="47"/>
        <v>-0.46578313253012044</v>
      </c>
      <c r="E53" s="69">
        <f t="shared" si="46"/>
        <v>-0.7286746987951807</v>
      </c>
      <c r="F53" s="69">
        <f t="shared" si="48"/>
        <v>-0.9987951807228918</v>
      </c>
      <c r="G53" s="69"/>
      <c r="H53" s="69">
        <f t="shared" si="44"/>
        <v>-1.2974096385542169</v>
      </c>
      <c r="I53" s="69">
        <f t="shared" si="42"/>
        <v>-1.6303614457831326</v>
      </c>
      <c r="J53" s="69">
        <f t="shared" si="42"/>
        <v>-1.6849999999999996</v>
      </c>
      <c r="K53" s="69">
        <f t="shared" si="42"/>
        <v>-1.7595180722891566</v>
      </c>
      <c r="L53" s="71">
        <f t="shared" si="43"/>
        <v>-2.1629518072289153</v>
      </c>
      <c r="M53" s="69"/>
      <c r="N53" s="71">
        <f t="shared" si="41"/>
        <v>-1.8687951807228915</v>
      </c>
      <c r="O53" s="69">
        <f t="shared" si="40"/>
        <v>-1.5489156626506024</v>
      </c>
      <c r="P53" s="69">
        <f t="shared" si="40"/>
        <v>-1.560180722891566</v>
      </c>
      <c r="Q53" s="69"/>
      <c r="R53" s="69">
        <f t="shared" si="39"/>
        <v>-1.2244578313253014</v>
      </c>
      <c r="S53" s="69">
        <f t="shared" si="39"/>
        <v>-1.2371084337349398</v>
      </c>
      <c r="T53" s="69">
        <f t="shared" si="37"/>
        <v>-0.8955421686746988</v>
      </c>
      <c r="U53" s="69">
        <f t="shared" si="37"/>
        <v>-0.9136144578313253</v>
      </c>
      <c r="V53" s="69">
        <f t="shared" si="34"/>
        <v>-0.5521686746987952</v>
      </c>
      <c r="W53" s="69">
        <f t="shared" si="35"/>
        <v>-0.5521686746987952</v>
      </c>
      <c r="X53" s="69">
        <f t="shared" si="35"/>
        <v>-0.5521686746987952</v>
      </c>
      <c r="Y53" s="69">
        <f t="shared" si="35"/>
        <v>-0.5521686746987952</v>
      </c>
      <c r="Z53" s="79">
        <f t="shared" si="38"/>
        <v>-0.5421686746987951</v>
      </c>
      <c r="AA53" s="56">
        <v>0.03614457831325301</v>
      </c>
      <c r="AB53" s="49">
        <f t="shared" si="36"/>
        <v>0.2746875000000002</v>
      </c>
      <c r="AC53" s="51">
        <v>0.052083333333333336</v>
      </c>
      <c r="AG53">
        <f>3/48</f>
        <v>0.0625</v>
      </c>
      <c r="AH53" s="35">
        <f t="shared" si="45"/>
        <v>0.04568713450292397</v>
      </c>
      <c r="AI53" s="35">
        <f t="shared" si="32"/>
        <v>0.03125</v>
      </c>
    </row>
    <row r="54" spans="1:36" ht="15">
      <c r="A54" s="68">
        <f t="shared" si="30"/>
        <v>42302.02083333337</v>
      </c>
      <c r="B54" s="69">
        <f t="shared" si="49"/>
        <v>-0.1</v>
      </c>
      <c r="C54" s="69">
        <f t="shared" si="50"/>
        <v>-0.4703614457831325</v>
      </c>
      <c r="D54" s="69">
        <f t="shared" si="47"/>
        <v>-0.7296385542168674</v>
      </c>
      <c r="E54" s="69">
        <f t="shared" si="46"/>
        <v>-0.9961445783132532</v>
      </c>
      <c r="F54" s="69">
        <f t="shared" si="48"/>
        <v>-1.2698795180722893</v>
      </c>
      <c r="G54" s="69"/>
      <c r="H54" s="69">
        <f t="shared" si="44"/>
        <v>-1.5757228915662649</v>
      </c>
      <c r="I54" s="69">
        <f t="shared" si="42"/>
        <v>-1.9195180722891563</v>
      </c>
      <c r="J54" s="69">
        <f t="shared" si="42"/>
        <v>-1.9849999999999994</v>
      </c>
      <c r="K54" s="69">
        <f t="shared" si="42"/>
        <v>-2.073975903614457</v>
      </c>
      <c r="L54" s="71">
        <f t="shared" si="43"/>
        <v>-1.834036144578313</v>
      </c>
      <c r="M54" s="69"/>
      <c r="N54" s="71">
        <f t="shared" si="41"/>
        <v>-1.5326506024096387</v>
      </c>
      <c r="O54" s="69">
        <f t="shared" si="40"/>
        <v>-1.2091566265060243</v>
      </c>
      <c r="P54" s="69">
        <f t="shared" si="40"/>
        <v>-1.2168072289156626</v>
      </c>
      <c r="Q54" s="69"/>
      <c r="R54" s="69">
        <f t="shared" si="39"/>
        <v>-0.8774698795180723</v>
      </c>
      <c r="S54" s="69">
        <f t="shared" si="39"/>
        <v>-0.8865060240963856</v>
      </c>
      <c r="T54" s="69">
        <f t="shared" si="37"/>
        <v>-0.5413253012048193</v>
      </c>
      <c r="U54" s="69">
        <f t="shared" si="37"/>
        <v>-0.5521686746987952</v>
      </c>
      <c r="V54" s="69">
        <f t="shared" si="34"/>
        <v>-0.01</v>
      </c>
      <c r="W54" s="69">
        <f t="shared" si="35"/>
        <v>-0.01</v>
      </c>
      <c r="X54" s="69">
        <f t="shared" si="35"/>
        <v>-0.01</v>
      </c>
      <c r="Y54" s="69">
        <f t="shared" si="35"/>
        <v>-0.01</v>
      </c>
      <c r="Z54" s="77">
        <v>0</v>
      </c>
      <c r="AA54" s="72">
        <v>0</v>
      </c>
      <c r="AB54" s="52">
        <v>0.23</v>
      </c>
      <c r="AC54" s="53">
        <v>0.03125</v>
      </c>
      <c r="AD54" s="38">
        <v>-15</v>
      </c>
      <c r="AG54">
        <f>SUM(AG42:AG53)</f>
        <v>2</v>
      </c>
      <c r="AH54" s="35">
        <f t="shared" si="45"/>
        <v>0.027412280701754384</v>
      </c>
      <c r="AI54" s="39">
        <f>SUM(AI42:AI53)</f>
        <v>1</v>
      </c>
      <c r="AJ54" s="39">
        <f>SUM(AJ42:AJ53)</f>
        <v>1</v>
      </c>
    </row>
    <row r="55" spans="1:34" ht="15">
      <c r="A55" s="68">
        <f t="shared" si="30"/>
        <v>42302.04166666671</v>
      </c>
      <c r="B55" s="69">
        <f t="shared" si="49"/>
        <v>-0.1</v>
      </c>
      <c r="C55" s="69">
        <f t="shared" si="50"/>
        <v>-0.7306024096385542</v>
      </c>
      <c r="D55" s="69">
        <f t="shared" si="47"/>
        <v>-0.9934939759036145</v>
      </c>
      <c r="E55" s="69">
        <f t="shared" si="46"/>
        <v>-1.2636144578313253</v>
      </c>
      <c r="F55" s="69">
        <f t="shared" si="48"/>
        <v>-1.5409638554216867</v>
      </c>
      <c r="G55" s="69"/>
      <c r="H55" s="69">
        <f t="shared" si="44"/>
        <v>-1.854036144578313</v>
      </c>
      <c r="I55" s="69">
        <f t="shared" si="42"/>
        <v>-1.6303614457831326</v>
      </c>
      <c r="J55" s="69">
        <f t="shared" si="42"/>
        <v>-1.6849999999999996</v>
      </c>
      <c r="K55" s="69">
        <f t="shared" si="42"/>
        <v>-1.7595180722891566</v>
      </c>
      <c r="L55" s="71">
        <f t="shared" si="43"/>
        <v>-1.5051204819277109</v>
      </c>
      <c r="M55" s="69"/>
      <c r="N55" s="71">
        <f t="shared" si="41"/>
        <v>-1.1965060240963858</v>
      </c>
      <c r="O55" s="69">
        <f t="shared" si="40"/>
        <v>-0.8693975903614458</v>
      </c>
      <c r="P55" s="69">
        <f t="shared" si="40"/>
        <v>-0.8734337349397591</v>
      </c>
      <c r="Q55" s="69"/>
      <c r="R55" s="69">
        <f t="shared" si="39"/>
        <v>-0.5304819277108433</v>
      </c>
      <c r="S55" s="69">
        <f t="shared" si="39"/>
        <v>-0.5359036144578313</v>
      </c>
      <c r="T55" s="69">
        <f t="shared" si="37"/>
        <v>-0.01</v>
      </c>
      <c r="U55" s="69">
        <f t="shared" si="37"/>
        <v>-0.01</v>
      </c>
      <c r="V55" s="69">
        <f t="shared" si="34"/>
        <v>0.4877272727272727</v>
      </c>
      <c r="W55" s="69">
        <f t="shared" si="35"/>
        <v>0.4877272727272727</v>
      </c>
      <c r="X55" s="69">
        <f t="shared" si="35"/>
        <v>0.4877272727272727</v>
      </c>
      <c r="Y55" s="69">
        <f t="shared" si="35"/>
        <v>0.4877272727272727</v>
      </c>
      <c r="Z55" s="80">
        <f>AA55*$AD$67</f>
        <v>0.4977272727272727</v>
      </c>
      <c r="AA55" s="54">
        <v>0.03125</v>
      </c>
      <c r="AB55" s="47">
        <f aca="true" t="shared" si="51" ref="AB55:AB66">AB54-($AB$54-$AB$67)*AC55</f>
        <v>0.2681030701754386</v>
      </c>
      <c r="AC55" s="48">
        <v>0.027412280701754384</v>
      </c>
      <c r="AH55" s="35">
        <f>SUM(AH42:AH54)</f>
        <v>1.01719298245614</v>
      </c>
    </row>
    <row r="56" spans="1:29" ht="15">
      <c r="A56" s="68">
        <f t="shared" si="30"/>
        <v>42302.062500000044</v>
      </c>
      <c r="B56" s="69">
        <f t="shared" si="49"/>
        <v>-0.47951807228915655</v>
      </c>
      <c r="C56" s="69">
        <f t="shared" si="50"/>
        <v>-0.990843373493976</v>
      </c>
      <c r="D56" s="69">
        <f t="shared" si="47"/>
        <v>-1.2573493975903616</v>
      </c>
      <c r="E56" s="69">
        <f t="shared" si="46"/>
        <v>-1.5310843373493974</v>
      </c>
      <c r="F56" s="69">
        <f t="shared" si="48"/>
        <v>-1.812048192771084</v>
      </c>
      <c r="G56" s="69"/>
      <c r="H56" s="69">
        <f t="shared" si="44"/>
        <v>-1.5757228915662649</v>
      </c>
      <c r="I56" s="69">
        <f t="shared" si="42"/>
        <v>-1.3412048192771087</v>
      </c>
      <c r="J56" s="69">
        <f t="shared" si="42"/>
        <v>-1.3849999999999998</v>
      </c>
      <c r="K56" s="69">
        <f t="shared" si="42"/>
        <v>-1.4450602409638555</v>
      </c>
      <c r="L56" s="71">
        <f t="shared" si="43"/>
        <v>-1.1762048192771086</v>
      </c>
      <c r="M56" s="69"/>
      <c r="N56" s="71">
        <f t="shared" si="41"/>
        <v>-0.8603614457831326</v>
      </c>
      <c r="O56" s="69">
        <f t="shared" si="40"/>
        <v>-0.5296385542168675</v>
      </c>
      <c r="P56" s="69">
        <f t="shared" si="40"/>
        <v>-0.5300602409638554</v>
      </c>
      <c r="Q56" s="69"/>
      <c r="R56" s="69">
        <f t="shared" si="39"/>
        <v>-0.01</v>
      </c>
      <c r="S56" s="69">
        <f t="shared" si="39"/>
        <v>-0.01</v>
      </c>
      <c r="T56" s="69">
        <f t="shared" si="37"/>
        <v>0.47777272727272724</v>
      </c>
      <c r="U56" s="69">
        <f t="shared" si="37"/>
        <v>0.4877272727272727</v>
      </c>
      <c r="V56" s="69">
        <f t="shared" si="34"/>
        <v>0.8195454545454545</v>
      </c>
      <c r="W56" s="69">
        <f t="shared" si="35"/>
        <v>0.8195454545454545</v>
      </c>
      <c r="X56" s="69">
        <f t="shared" si="35"/>
        <v>0.8195454545454545</v>
      </c>
      <c r="Y56" s="69">
        <f t="shared" si="35"/>
        <v>0.8195454545454545</v>
      </c>
      <c r="Z56" s="77">
        <f aca="true" t="shared" si="52" ref="Z56:Z66">AA56*$AD$67</f>
        <v>0.8295454545454545</v>
      </c>
      <c r="AA56" s="55">
        <v>0.052083333333333336</v>
      </c>
      <c r="AB56" s="49">
        <f t="shared" si="51"/>
        <v>0.3316081871345029</v>
      </c>
      <c r="AC56" s="51">
        <v>0.04568713450292397</v>
      </c>
    </row>
    <row r="57" spans="1:29" ht="15">
      <c r="A57" s="68">
        <f t="shared" si="30"/>
        <v>42302.08333333338</v>
      </c>
      <c r="B57" s="69">
        <f t="shared" si="49"/>
        <v>-0.7325301204819277</v>
      </c>
      <c r="C57" s="69">
        <f t="shared" si="50"/>
        <v>-1.2510843373493976</v>
      </c>
      <c r="D57" s="69">
        <f t="shared" si="47"/>
        <v>-1.5212048192771084</v>
      </c>
      <c r="E57" s="69">
        <f t="shared" si="46"/>
        <v>-1.7985542168674695</v>
      </c>
      <c r="F57" s="69">
        <f t="shared" si="48"/>
        <v>-1.5409638554216867</v>
      </c>
      <c r="G57" s="69"/>
      <c r="H57" s="69">
        <f t="shared" si="44"/>
        <v>-1.2974096385542169</v>
      </c>
      <c r="I57" s="69">
        <f t="shared" si="42"/>
        <v>-1.0520481927710845</v>
      </c>
      <c r="J57" s="69">
        <f t="shared" si="42"/>
        <v>-1.085</v>
      </c>
      <c r="K57" s="69">
        <f t="shared" si="42"/>
        <v>-1.1306024096385543</v>
      </c>
      <c r="L57" s="71">
        <f t="shared" si="43"/>
        <v>-0.8472891566265061</v>
      </c>
      <c r="M57" s="69"/>
      <c r="N57" s="71">
        <f t="shared" si="41"/>
        <v>-0.5242168674698795</v>
      </c>
      <c r="O57" s="69">
        <f t="shared" si="40"/>
        <v>-0.02</v>
      </c>
      <c r="P57" s="69">
        <f t="shared" si="40"/>
        <v>-0.015</v>
      </c>
      <c r="Q57" s="69"/>
      <c r="R57" s="69">
        <f t="shared" si="39"/>
        <v>0.46781818181818174</v>
      </c>
      <c r="S57" s="69">
        <f t="shared" si="39"/>
        <v>0.47279545454545446</v>
      </c>
      <c r="T57" s="69">
        <f t="shared" si="37"/>
        <v>0.8029545454545454</v>
      </c>
      <c r="U57" s="69">
        <f t="shared" si="37"/>
        <v>0.8195454545454545</v>
      </c>
      <c r="V57" s="69">
        <f t="shared" si="34"/>
        <v>1.1513636363636364</v>
      </c>
      <c r="W57" s="69">
        <f t="shared" si="35"/>
        <v>1.1513636363636364</v>
      </c>
      <c r="X57" s="69">
        <f t="shared" si="35"/>
        <v>1.1513636363636364</v>
      </c>
      <c r="Y57" s="69">
        <f t="shared" si="35"/>
        <v>1.1513636363636364</v>
      </c>
      <c r="Z57" s="77">
        <f t="shared" si="52"/>
        <v>1.1613636363636364</v>
      </c>
      <c r="AA57" s="55">
        <v>0.07291666666666667</v>
      </c>
      <c r="AB57" s="49">
        <f t="shared" si="51"/>
        <v>0.42051535087719294</v>
      </c>
      <c r="AC57" s="51">
        <v>0.06396198830409357</v>
      </c>
    </row>
    <row r="58" spans="1:29" ht="15">
      <c r="A58" s="68">
        <f t="shared" si="30"/>
        <v>42302.104166666715</v>
      </c>
      <c r="B58" s="69">
        <f t="shared" si="49"/>
        <v>-0.9855421686746988</v>
      </c>
      <c r="C58" s="69">
        <f t="shared" si="50"/>
        <v>-1.5113253012048191</v>
      </c>
      <c r="D58" s="69">
        <f t="shared" si="47"/>
        <v>-1.785060240963855</v>
      </c>
      <c r="E58" s="69">
        <f t="shared" si="46"/>
        <v>-1.5310843373493974</v>
      </c>
      <c r="F58" s="69">
        <f t="shared" si="48"/>
        <v>-1.2698795180722893</v>
      </c>
      <c r="G58" s="69"/>
      <c r="H58" s="69">
        <f t="shared" si="44"/>
        <v>-1.0190963855421689</v>
      </c>
      <c r="I58" s="69">
        <f t="shared" si="42"/>
        <v>-0.7628915662650604</v>
      </c>
      <c r="J58" s="69">
        <f t="shared" si="42"/>
        <v>-0.785</v>
      </c>
      <c r="K58" s="69">
        <f t="shared" si="42"/>
        <v>-0.816144578313253</v>
      </c>
      <c r="L58" s="71">
        <f t="shared" si="43"/>
        <v>-0.5183734939759036</v>
      </c>
      <c r="M58" s="69"/>
      <c r="N58" s="71">
        <f t="shared" si="41"/>
        <v>-0.02</v>
      </c>
      <c r="O58" s="69">
        <f t="shared" si="40"/>
        <v>0.4478636363636363</v>
      </c>
      <c r="P58" s="69">
        <f t="shared" si="40"/>
        <v>0.457840909090909</v>
      </c>
      <c r="Q58" s="69"/>
      <c r="R58" s="69">
        <f t="shared" si="39"/>
        <v>0.7863636363636363</v>
      </c>
      <c r="S58" s="69">
        <f t="shared" si="39"/>
        <v>0.7946590909090908</v>
      </c>
      <c r="T58" s="69">
        <f t="shared" si="37"/>
        <v>1.1281363636363637</v>
      </c>
      <c r="U58" s="69">
        <f t="shared" si="37"/>
        <v>1.1513636363636364</v>
      </c>
      <c r="V58" s="69">
        <f t="shared" si="34"/>
        <v>1.4831818181818182</v>
      </c>
      <c r="W58" s="69">
        <f t="shared" si="35"/>
        <v>1.4831818181818182</v>
      </c>
      <c r="X58" s="69">
        <f t="shared" si="35"/>
        <v>1.4831818181818182</v>
      </c>
      <c r="Y58" s="69">
        <f t="shared" si="35"/>
        <v>1.4831818181818182</v>
      </c>
      <c r="Z58" s="77">
        <f t="shared" si="52"/>
        <v>1.4931818181818182</v>
      </c>
      <c r="AA58" s="55">
        <v>0.09375</v>
      </c>
      <c r="AB58" s="49">
        <f t="shared" si="51"/>
        <v>0.5348245614035088</v>
      </c>
      <c r="AC58" s="51">
        <v>0.08223684210526315</v>
      </c>
    </row>
    <row r="59" spans="1:29" ht="15">
      <c r="A59" s="68">
        <f t="shared" si="30"/>
        <v>42302.12500000005</v>
      </c>
      <c r="B59" s="69">
        <f t="shared" si="49"/>
        <v>-1.23855421686747</v>
      </c>
      <c r="C59" s="69">
        <f t="shared" si="50"/>
        <v>-1.7715662650602406</v>
      </c>
      <c r="D59" s="69">
        <f t="shared" si="47"/>
        <v>-1.5212048192771084</v>
      </c>
      <c r="E59" s="69">
        <f t="shared" si="46"/>
        <v>-1.2636144578313253</v>
      </c>
      <c r="F59" s="69">
        <f t="shared" si="48"/>
        <v>-0.9987951807228918</v>
      </c>
      <c r="G59" s="69"/>
      <c r="H59" s="69">
        <f t="shared" si="44"/>
        <v>-0.7407831325301205</v>
      </c>
      <c r="I59" s="69">
        <f t="shared" si="42"/>
        <v>-0.47373493975903613</v>
      </c>
      <c r="J59" s="69">
        <f t="shared" si="42"/>
        <v>-0.48499999999999993</v>
      </c>
      <c r="K59" s="69">
        <f t="shared" si="42"/>
        <v>-0.5016867469879518</v>
      </c>
      <c r="L59" s="71">
        <f t="shared" si="43"/>
        <v>-0.025</v>
      </c>
      <c r="M59" s="69"/>
      <c r="N59" s="71">
        <f t="shared" si="41"/>
        <v>0.4428863636363636</v>
      </c>
      <c r="O59" s="69">
        <f t="shared" si="40"/>
        <v>0.7597727272727272</v>
      </c>
      <c r="P59" s="69">
        <f t="shared" si="40"/>
        <v>0.7730681818181817</v>
      </c>
      <c r="Q59" s="69"/>
      <c r="R59" s="69">
        <f t="shared" si="39"/>
        <v>1.1049090909090908</v>
      </c>
      <c r="S59" s="69">
        <f t="shared" si="39"/>
        <v>1.1165227272727272</v>
      </c>
      <c r="T59" s="69">
        <f t="shared" si="37"/>
        <v>1.4533181818181817</v>
      </c>
      <c r="U59" s="69">
        <f t="shared" si="37"/>
        <v>1.4831818181818182</v>
      </c>
      <c r="V59" s="69">
        <f t="shared" si="34"/>
        <v>1.8149999999999997</v>
      </c>
      <c r="W59" s="69">
        <f t="shared" si="35"/>
        <v>1.8149999999999997</v>
      </c>
      <c r="X59" s="69">
        <f t="shared" si="35"/>
        <v>1.8149999999999997</v>
      </c>
      <c r="Y59" s="69">
        <f t="shared" si="35"/>
        <v>1.8149999999999997</v>
      </c>
      <c r="Z59" s="77">
        <f t="shared" si="52"/>
        <v>1.8249999999999997</v>
      </c>
      <c r="AA59" s="55">
        <v>0.11458333333333333</v>
      </c>
      <c r="AB59" s="49">
        <f t="shared" si="51"/>
        <v>0.6745358187134503</v>
      </c>
      <c r="AC59" s="51">
        <v>0.10051169590643273</v>
      </c>
    </row>
    <row r="60" spans="1:29" ht="15">
      <c r="A60" s="68">
        <f t="shared" si="30"/>
        <v>42302.14583333339</v>
      </c>
      <c r="B60" s="69">
        <f t="shared" si="49"/>
        <v>-1.4915662650602408</v>
      </c>
      <c r="C60" s="69">
        <f t="shared" si="50"/>
        <v>-1.5113253012048191</v>
      </c>
      <c r="D60" s="69">
        <f t="shared" si="47"/>
        <v>-1.2573493975903616</v>
      </c>
      <c r="E60" s="69">
        <f t="shared" si="46"/>
        <v>-0.9961445783132532</v>
      </c>
      <c r="F60" s="69">
        <f t="shared" si="48"/>
        <v>-0.727710843373494</v>
      </c>
      <c r="G60" s="69"/>
      <c r="H60" s="69">
        <f t="shared" si="44"/>
        <v>-0.4624698795180723</v>
      </c>
      <c r="I60" s="69">
        <f t="shared" si="42"/>
        <v>-0.04</v>
      </c>
      <c r="J60" s="69">
        <f t="shared" si="42"/>
        <v>-0.034999999999999996</v>
      </c>
      <c r="K60" s="69">
        <f t="shared" si="42"/>
        <v>-0.03</v>
      </c>
      <c r="L60" s="71">
        <f t="shared" si="43"/>
        <v>0.42793181818181814</v>
      </c>
      <c r="M60" s="69"/>
      <c r="N60" s="71">
        <f t="shared" si="41"/>
        <v>0.7514772727272727</v>
      </c>
      <c r="O60" s="69">
        <f t="shared" si="40"/>
        <v>1.0716818181818182</v>
      </c>
      <c r="P60" s="69">
        <f t="shared" si="40"/>
        <v>1.0882954545454546</v>
      </c>
      <c r="Q60" s="69"/>
      <c r="R60" s="69">
        <f t="shared" si="39"/>
        <v>1.4234545454545453</v>
      </c>
      <c r="S60" s="69">
        <f t="shared" si="39"/>
        <v>1.4383863636363636</v>
      </c>
      <c r="T60" s="69">
        <f t="shared" si="37"/>
        <v>1.7784999999999997</v>
      </c>
      <c r="U60" s="69">
        <f t="shared" si="37"/>
        <v>1.8149999999999997</v>
      </c>
      <c r="V60" s="69">
        <f t="shared" si="34"/>
        <v>2.1468181818181815</v>
      </c>
      <c r="W60" s="69">
        <f t="shared" si="35"/>
        <v>2.1468181818181815</v>
      </c>
      <c r="X60" s="69">
        <f t="shared" si="35"/>
        <v>2.1468181818181815</v>
      </c>
      <c r="Y60" s="69">
        <f t="shared" si="35"/>
        <v>2.1468181818181815</v>
      </c>
      <c r="Z60" s="77">
        <f t="shared" si="52"/>
        <v>2.1568181818181813</v>
      </c>
      <c r="AA60" s="55">
        <v>0.13541666666666666</v>
      </c>
      <c r="AB60" s="49">
        <f t="shared" si="51"/>
        <v>0.8396491228070175</v>
      </c>
      <c r="AC60" s="51">
        <v>0.11878654970760232</v>
      </c>
    </row>
    <row r="61" spans="1:29" ht="15">
      <c r="A61" s="68">
        <f t="shared" si="30"/>
        <v>42302.16666666672</v>
      </c>
      <c r="B61" s="69">
        <f t="shared" si="49"/>
        <v>-1.7445783132530117</v>
      </c>
      <c r="C61" s="69">
        <f t="shared" si="50"/>
        <v>-1.2510843373493976</v>
      </c>
      <c r="D61" s="69">
        <f t="shared" si="47"/>
        <v>-0.9934939759036145</v>
      </c>
      <c r="E61" s="69">
        <f t="shared" si="46"/>
        <v>-0.7286746987951807</v>
      </c>
      <c r="F61" s="69">
        <f t="shared" si="48"/>
        <v>-0.4566265060240963</v>
      </c>
      <c r="G61" s="69"/>
      <c r="H61" s="69">
        <f t="shared" si="44"/>
        <v>-0.045</v>
      </c>
      <c r="I61" s="69">
        <f t="shared" si="42"/>
        <v>0.3581818181818182</v>
      </c>
      <c r="J61" s="69">
        <f t="shared" si="42"/>
        <v>0.3781136363636363</v>
      </c>
      <c r="K61" s="69">
        <f t="shared" si="42"/>
        <v>0.40302272727272725</v>
      </c>
      <c r="L61" s="71">
        <f t="shared" si="43"/>
        <v>0.7298863636363636</v>
      </c>
      <c r="M61" s="69"/>
      <c r="N61" s="71">
        <f t="shared" si="41"/>
        <v>1.0600681818181819</v>
      </c>
      <c r="O61" s="69">
        <f t="shared" si="40"/>
        <v>1.3835909090909089</v>
      </c>
      <c r="P61" s="69">
        <f t="shared" si="40"/>
        <v>1.4035227272727273</v>
      </c>
      <c r="Q61" s="69"/>
      <c r="R61" s="69">
        <f t="shared" si="39"/>
        <v>1.7419999999999998</v>
      </c>
      <c r="S61" s="69">
        <f t="shared" si="39"/>
        <v>1.7602499999999996</v>
      </c>
      <c r="T61" s="69">
        <f t="shared" si="37"/>
        <v>2.1036818181818178</v>
      </c>
      <c r="U61" s="69">
        <f t="shared" si="37"/>
        <v>2.1468181818181815</v>
      </c>
      <c r="V61" s="69">
        <f t="shared" si="34"/>
        <v>2.1468181818181815</v>
      </c>
      <c r="W61" s="69">
        <f t="shared" si="35"/>
        <v>2.1468181818181815</v>
      </c>
      <c r="X61" s="69">
        <f t="shared" si="35"/>
        <v>2.1468181818181815</v>
      </c>
      <c r="Y61" s="69">
        <f t="shared" si="35"/>
        <v>2.1468181818181815</v>
      </c>
      <c r="Z61" s="77">
        <f t="shared" si="52"/>
        <v>2.1568181818181813</v>
      </c>
      <c r="AA61" s="55">
        <v>0.13541666666666666</v>
      </c>
      <c r="AB61" s="49">
        <f t="shared" si="51"/>
        <v>1.0342491228070176</v>
      </c>
      <c r="AC61" s="51">
        <v>0.14</v>
      </c>
    </row>
    <row r="62" spans="1:29" ht="15">
      <c r="A62" s="68">
        <f t="shared" si="30"/>
        <v>42302.18750000006</v>
      </c>
      <c r="B62" s="69">
        <f t="shared" si="49"/>
        <v>-1.4915662650602408</v>
      </c>
      <c r="C62" s="69">
        <f t="shared" si="50"/>
        <v>-0.990843373493976</v>
      </c>
      <c r="D62" s="69">
        <f t="shared" si="47"/>
        <v>-0.7296385542168674</v>
      </c>
      <c r="E62" s="69">
        <f t="shared" si="46"/>
        <v>-0.4612048192771084</v>
      </c>
      <c r="F62" s="69">
        <f t="shared" si="48"/>
        <v>-0.05</v>
      </c>
      <c r="G62" s="69"/>
      <c r="H62" s="69">
        <f t="shared" si="44"/>
        <v>0.33825</v>
      </c>
      <c r="I62" s="69">
        <f t="shared" si="42"/>
        <v>0.6236363636363635</v>
      </c>
      <c r="J62" s="69">
        <f t="shared" si="42"/>
        <v>0.6535227272727272</v>
      </c>
      <c r="K62" s="69">
        <f t="shared" si="42"/>
        <v>0.6917045454545454</v>
      </c>
      <c r="L62" s="71">
        <f t="shared" si="43"/>
        <v>1.0318409090909093</v>
      </c>
      <c r="M62" s="69"/>
      <c r="N62" s="71">
        <f t="shared" si="41"/>
        <v>1.368659090909091</v>
      </c>
      <c r="O62" s="69">
        <f t="shared" si="40"/>
        <v>1.6954999999999996</v>
      </c>
      <c r="P62" s="69">
        <f t="shared" si="40"/>
        <v>1.7187499999999998</v>
      </c>
      <c r="Q62" s="69"/>
      <c r="R62" s="69">
        <f t="shared" si="39"/>
        <v>2.060545454545454</v>
      </c>
      <c r="S62" s="69">
        <f t="shared" si="39"/>
        <v>2.082113636363636</v>
      </c>
      <c r="T62" s="69">
        <f t="shared" si="37"/>
        <v>2.1036818181818178</v>
      </c>
      <c r="U62" s="69">
        <f t="shared" si="37"/>
        <v>2.1468181818181815</v>
      </c>
      <c r="V62" s="69">
        <f t="shared" si="34"/>
        <v>1.8149999999999997</v>
      </c>
      <c r="W62" s="69">
        <f t="shared" si="35"/>
        <v>1.8149999999999997</v>
      </c>
      <c r="X62" s="69">
        <f t="shared" si="35"/>
        <v>1.8149999999999997</v>
      </c>
      <c r="Y62" s="69">
        <f t="shared" si="35"/>
        <v>1.8149999999999997</v>
      </c>
      <c r="Z62" s="77">
        <f t="shared" si="52"/>
        <v>1.8249999999999997</v>
      </c>
      <c r="AA62" s="55">
        <v>0.11458333333333333</v>
      </c>
      <c r="AB62" s="49">
        <f t="shared" si="51"/>
        <v>1.199362426900585</v>
      </c>
      <c r="AC62" s="51">
        <v>0.11878654970760232</v>
      </c>
    </row>
    <row r="63" spans="1:29" ht="15">
      <c r="A63" s="68">
        <f t="shared" si="30"/>
        <v>42302.208333333394</v>
      </c>
      <c r="B63" s="69">
        <f t="shared" si="49"/>
        <v>-1.23855421686747</v>
      </c>
      <c r="C63" s="69">
        <f t="shared" si="50"/>
        <v>-0.7306024096385542</v>
      </c>
      <c r="D63" s="69">
        <f t="shared" si="47"/>
        <v>-0.46578313253012044</v>
      </c>
      <c r="E63" s="69">
        <f t="shared" si="46"/>
        <v>-0.06</v>
      </c>
      <c r="F63" s="69">
        <f t="shared" si="48"/>
        <v>0.32329545454545455</v>
      </c>
      <c r="G63" s="69"/>
      <c r="H63" s="69">
        <f t="shared" si="44"/>
        <v>0.5937499999999999</v>
      </c>
      <c r="I63" s="69">
        <f t="shared" si="42"/>
        <v>0.8890909090909092</v>
      </c>
      <c r="J63" s="69">
        <f t="shared" si="42"/>
        <v>0.9289318181818181</v>
      </c>
      <c r="K63" s="69">
        <f t="shared" si="42"/>
        <v>0.9803863636363637</v>
      </c>
      <c r="L63" s="71">
        <f t="shared" si="43"/>
        <v>1.3337954545454547</v>
      </c>
      <c r="M63" s="69"/>
      <c r="N63" s="71">
        <f t="shared" si="41"/>
        <v>1.67725</v>
      </c>
      <c r="O63" s="69">
        <f t="shared" si="40"/>
        <v>2.0074090909090905</v>
      </c>
      <c r="P63" s="69">
        <f t="shared" si="40"/>
        <v>2.033977272727272</v>
      </c>
      <c r="Q63" s="69"/>
      <c r="R63" s="69">
        <f t="shared" si="39"/>
        <v>2.060545454545454</v>
      </c>
      <c r="S63" s="69">
        <f t="shared" si="39"/>
        <v>2.082113636363636</v>
      </c>
      <c r="T63" s="69">
        <f t="shared" si="37"/>
        <v>1.7784999999999997</v>
      </c>
      <c r="U63" s="69">
        <f t="shared" si="37"/>
        <v>1.8149999999999997</v>
      </c>
      <c r="V63" s="69">
        <f t="shared" si="34"/>
        <v>1.4831818181818182</v>
      </c>
      <c r="W63" s="69">
        <f>$Z63*W$36+W$37</f>
        <v>1.4831818181818182</v>
      </c>
      <c r="X63" s="69">
        <f>$Z63*X$36+X$37</f>
        <v>1.4831818181818182</v>
      </c>
      <c r="Y63" s="69">
        <f>$Z63*Y$36+Y$37</f>
        <v>1.4831818181818182</v>
      </c>
      <c r="Z63" s="77">
        <f t="shared" si="52"/>
        <v>1.4931818181818182</v>
      </c>
      <c r="AA63" s="55">
        <v>0.09375</v>
      </c>
      <c r="AB63" s="49">
        <f t="shared" si="51"/>
        <v>1.3390736842105264</v>
      </c>
      <c r="AC63" s="51">
        <v>0.10051169590643273</v>
      </c>
    </row>
    <row r="64" spans="1:29" ht="15">
      <c r="A64" s="68">
        <f t="shared" si="30"/>
        <v>42302.22916666673</v>
      </c>
      <c r="B64" s="69">
        <f t="shared" si="49"/>
        <v>-0.9855421686746988</v>
      </c>
      <c r="C64" s="69">
        <f t="shared" si="50"/>
        <v>-0.4703614457831325</v>
      </c>
      <c r="D64" s="69">
        <f t="shared" si="47"/>
        <v>-0.06999999999999999</v>
      </c>
      <c r="E64" s="69">
        <f t="shared" si="46"/>
        <v>0.30831818181818177</v>
      </c>
      <c r="F64" s="69">
        <f t="shared" si="48"/>
        <v>0.5721590909090908</v>
      </c>
      <c r="G64" s="69"/>
      <c r="H64" s="69">
        <f t="shared" si="44"/>
        <v>0.84925</v>
      </c>
      <c r="I64" s="69">
        <f t="shared" si="42"/>
        <v>1.1545454545454545</v>
      </c>
      <c r="J64" s="69">
        <f t="shared" si="42"/>
        <v>1.2043409090909092</v>
      </c>
      <c r="K64" s="69">
        <f t="shared" si="42"/>
        <v>1.2690681818181817</v>
      </c>
      <c r="L64" s="71">
        <f t="shared" si="43"/>
        <v>1.6357499999999998</v>
      </c>
      <c r="M64" s="69"/>
      <c r="N64" s="71">
        <f t="shared" si="41"/>
        <v>1.9858409090909088</v>
      </c>
      <c r="O64" s="69">
        <f t="shared" si="40"/>
        <v>2.0074090909090905</v>
      </c>
      <c r="P64" s="69">
        <f t="shared" si="40"/>
        <v>2.033977272727272</v>
      </c>
      <c r="Q64" s="69"/>
      <c r="R64" s="69">
        <f t="shared" si="39"/>
        <v>1.7419999999999998</v>
      </c>
      <c r="S64" s="69">
        <f t="shared" si="39"/>
        <v>1.7602499999999996</v>
      </c>
      <c r="T64" s="69">
        <f t="shared" si="37"/>
        <v>1.4533181818181817</v>
      </c>
      <c r="U64" s="69">
        <f t="shared" si="37"/>
        <v>1.4831818181818182</v>
      </c>
      <c r="V64" s="69">
        <f aca="true" t="shared" si="53" ref="V64:Y79">$Z64*V$36+V$37</f>
        <v>1.1513636363636364</v>
      </c>
      <c r="W64" s="69">
        <f t="shared" si="53"/>
        <v>1.1513636363636364</v>
      </c>
      <c r="X64" s="69">
        <f t="shared" si="53"/>
        <v>1.1513636363636364</v>
      </c>
      <c r="Y64" s="69">
        <f t="shared" si="53"/>
        <v>1.1513636363636364</v>
      </c>
      <c r="Z64" s="77">
        <f t="shared" si="52"/>
        <v>1.1613636363636364</v>
      </c>
      <c r="AA64" s="55">
        <v>0.07291666666666667</v>
      </c>
      <c r="AB64" s="49">
        <f t="shared" si="51"/>
        <v>1.4533828947368421</v>
      </c>
      <c r="AC64" s="51">
        <v>0.08223684210526315</v>
      </c>
    </row>
    <row r="65" spans="1:29" ht="15">
      <c r="A65" s="68">
        <f t="shared" si="30"/>
        <v>42302.250000000065</v>
      </c>
      <c r="B65" s="69">
        <f t="shared" si="49"/>
        <v>-0.7325301204819277</v>
      </c>
      <c r="C65" s="69">
        <f t="shared" si="50"/>
        <v>-0.08</v>
      </c>
      <c r="D65" s="69">
        <f t="shared" si="47"/>
        <v>0.29334090909090904</v>
      </c>
      <c r="E65" s="69">
        <f t="shared" si="46"/>
        <v>0.5538636363636362</v>
      </c>
      <c r="F65" s="69">
        <f t="shared" si="48"/>
        <v>0.8210227272727273</v>
      </c>
      <c r="G65" s="69"/>
      <c r="H65" s="69">
        <f t="shared" si="44"/>
        <v>1.1047500000000001</v>
      </c>
      <c r="I65" s="69">
        <f t="shared" si="42"/>
        <v>1.42</v>
      </c>
      <c r="J65" s="69">
        <f t="shared" si="42"/>
        <v>1.4797499999999997</v>
      </c>
      <c r="K65" s="69">
        <f t="shared" si="42"/>
        <v>1.5577499999999997</v>
      </c>
      <c r="L65" s="71">
        <f t="shared" si="43"/>
        <v>1.9377045454545452</v>
      </c>
      <c r="M65" s="69"/>
      <c r="N65" s="71">
        <f t="shared" si="41"/>
        <v>1.9858409090909088</v>
      </c>
      <c r="O65" s="69">
        <f t="shared" si="40"/>
        <v>1.6954999999999996</v>
      </c>
      <c r="P65" s="69">
        <f t="shared" si="40"/>
        <v>1.7187499999999998</v>
      </c>
      <c r="Q65" s="69"/>
      <c r="R65" s="69">
        <f t="shared" si="39"/>
        <v>1.4234545454545453</v>
      </c>
      <c r="S65" s="69">
        <f t="shared" si="39"/>
        <v>1.4383863636363636</v>
      </c>
      <c r="T65" s="69">
        <f t="shared" si="37"/>
        <v>1.1281363636363637</v>
      </c>
      <c r="U65" s="69">
        <f t="shared" si="37"/>
        <v>1.1513636363636364</v>
      </c>
      <c r="V65" s="69">
        <f t="shared" si="53"/>
        <v>0.8195454545454545</v>
      </c>
      <c r="W65" s="69">
        <f t="shared" si="53"/>
        <v>0.8195454545454545</v>
      </c>
      <c r="X65" s="69">
        <f t="shared" si="53"/>
        <v>0.8195454545454545</v>
      </c>
      <c r="Y65" s="69">
        <f t="shared" si="53"/>
        <v>0.8195454545454545</v>
      </c>
      <c r="Z65" s="77">
        <f t="shared" si="52"/>
        <v>0.8295454545454545</v>
      </c>
      <c r="AA65" s="55">
        <v>0.052083333333333336</v>
      </c>
      <c r="AB65" s="49">
        <f t="shared" si="51"/>
        <v>1.5422900584795323</v>
      </c>
      <c r="AC65" s="51">
        <v>0.06396198830409357</v>
      </c>
    </row>
    <row r="66" spans="1:29" ht="15">
      <c r="A66" s="68">
        <f t="shared" si="30"/>
        <v>42302.2708333334</v>
      </c>
      <c r="B66" s="69">
        <f t="shared" si="49"/>
        <v>-0.47951807228915655</v>
      </c>
      <c r="C66" s="69">
        <f t="shared" si="50"/>
        <v>0.2783636363636363</v>
      </c>
      <c r="D66" s="69">
        <f t="shared" si="47"/>
        <v>0.5355681818181818</v>
      </c>
      <c r="E66" s="69">
        <f t="shared" si="46"/>
        <v>0.799409090909091</v>
      </c>
      <c r="F66" s="69">
        <f t="shared" si="48"/>
        <v>1.0698863636363636</v>
      </c>
      <c r="G66" s="69"/>
      <c r="H66" s="69">
        <f t="shared" si="44"/>
        <v>1.36025</v>
      </c>
      <c r="I66" s="69">
        <f t="shared" si="42"/>
        <v>1.685454545454545</v>
      </c>
      <c r="J66" s="69">
        <f t="shared" si="42"/>
        <v>1.7551590909090904</v>
      </c>
      <c r="K66" s="69">
        <f t="shared" si="42"/>
        <v>1.8464318181818178</v>
      </c>
      <c r="L66" s="71">
        <f t="shared" si="43"/>
        <v>1.9377045454545452</v>
      </c>
      <c r="M66" s="69"/>
      <c r="N66" s="71">
        <f t="shared" si="41"/>
        <v>1.67725</v>
      </c>
      <c r="O66" s="69">
        <f t="shared" si="40"/>
        <v>1.3835909090909089</v>
      </c>
      <c r="P66" s="69">
        <f t="shared" si="40"/>
        <v>1.4035227272727273</v>
      </c>
      <c r="Q66" s="69"/>
      <c r="R66" s="69">
        <f t="shared" si="39"/>
        <v>1.1049090909090908</v>
      </c>
      <c r="S66" s="69">
        <f t="shared" si="39"/>
        <v>1.1165227272727272</v>
      </c>
      <c r="T66" s="69">
        <f t="shared" si="37"/>
        <v>0.8029545454545454</v>
      </c>
      <c r="U66" s="69">
        <f t="shared" si="37"/>
        <v>0.8195454545454545</v>
      </c>
      <c r="V66" s="69">
        <f t="shared" si="53"/>
        <v>0.4877272727272727</v>
      </c>
      <c r="W66" s="69">
        <f t="shared" si="53"/>
        <v>0.4877272727272727</v>
      </c>
      <c r="X66" s="69">
        <f t="shared" si="53"/>
        <v>0.4877272727272727</v>
      </c>
      <c r="Y66" s="69">
        <f t="shared" si="53"/>
        <v>0.4877272727272727</v>
      </c>
      <c r="Z66" s="79">
        <f t="shared" si="52"/>
        <v>0.4977272727272727</v>
      </c>
      <c r="AA66" s="56">
        <v>0.03125</v>
      </c>
      <c r="AB66" s="49">
        <f t="shared" si="51"/>
        <v>1.6057951754385966</v>
      </c>
      <c r="AC66" s="51">
        <v>0.04568713450292397</v>
      </c>
    </row>
    <row r="67" spans="1:31" ht="15">
      <c r="A67" s="68">
        <f t="shared" si="30"/>
        <v>42302.29166666674</v>
      </c>
      <c r="B67" s="69">
        <f t="shared" si="49"/>
        <v>-0.1</v>
      </c>
      <c r="C67" s="69">
        <f t="shared" si="50"/>
        <v>0.5172727272727272</v>
      </c>
      <c r="D67" s="69">
        <f t="shared" si="47"/>
        <v>0.7777954545454546</v>
      </c>
      <c r="E67" s="69">
        <f t="shared" si="46"/>
        <v>1.0449545454545455</v>
      </c>
      <c r="F67" s="69">
        <f t="shared" si="48"/>
        <v>1.3187499999999999</v>
      </c>
      <c r="G67" s="69"/>
      <c r="H67" s="69">
        <f t="shared" si="44"/>
        <v>1.6157499999999998</v>
      </c>
      <c r="I67" s="69">
        <f t="shared" si="42"/>
        <v>1.685454545454545</v>
      </c>
      <c r="J67" s="69">
        <f t="shared" si="42"/>
        <v>1.7551590909090904</v>
      </c>
      <c r="K67" s="69">
        <f t="shared" si="42"/>
        <v>1.8464318181818178</v>
      </c>
      <c r="L67" s="71">
        <f t="shared" si="43"/>
        <v>1.6357499999999998</v>
      </c>
      <c r="M67" s="69"/>
      <c r="N67" s="71">
        <f t="shared" si="41"/>
        <v>1.368659090909091</v>
      </c>
      <c r="O67" s="69">
        <f t="shared" si="40"/>
        <v>1.0716818181818182</v>
      </c>
      <c r="P67" s="69">
        <f t="shared" si="40"/>
        <v>1.0882954545454546</v>
      </c>
      <c r="Q67" s="69"/>
      <c r="R67" s="69">
        <f t="shared" si="39"/>
        <v>0.7863636363636363</v>
      </c>
      <c r="S67" s="69">
        <f t="shared" si="39"/>
        <v>0.7946590909090908</v>
      </c>
      <c r="T67" s="69">
        <f t="shared" si="37"/>
        <v>0.47777272727272724</v>
      </c>
      <c r="U67" s="69">
        <f t="shared" si="37"/>
        <v>0.4877272727272727</v>
      </c>
      <c r="V67" s="69">
        <f t="shared" si="53"/>
        <v>-0.01</v>
      </c>
      <c r="W67" s="69">
        <f t="shared" si="53"/>
        <v>-0.01</v>
      </c>
      <c r="X67" s="69">
        <f t="shared" si="53"/>
        <v>-0.01</v>
      </c>
      <c r="Y67" s="69">
        <f t="shared" si="53"/>
        <v>-0.01</v>
      </c>
      <c r="Z67" s="77">
        <v>0</v>
      </c>
      <c r="AA67" s="72">
        <v>0</v>
      </c>
      <c r="AB67" s="57">
        <v>1.62</v>
      </c>
      <c r="AC67" s="53">
        <v>0.027412280701754384</v>
      </c>
      <c r="AD67" s="38">
        <f>14.6*12/11</f>
        <v>15.927272727272726</v>
      </c>
      <c r="AE67" s="36"/>
    </row>
    <row r="68" spans="1:29" ht="15">
      <c r="A68" s="68">
        <f t="shared" si="30"/>
        <v>42302.31250000007</v>
      </c>
      <c r="B68" s="69">
        <f t="shared" si="49"/>
        <v>0.24840909090909083</v>
      </c>
      <c r="C68" s="69">
        <f t="shared" si="50"/>
        <v>0.7561818181818182</v>
      </c>
      <c r="D68" s="69">
        <f t="shared" si="47"/>
        <v>1.0200227272727271</v>
      </c>
      <c r="E68" s="69">
        <f t="shared" si="46"/>
        <v>1.2904999999999998</v>
      </c>
      <c r="F68" s="69">
        <f t="shared" si="48"/>
        <v>1.567613636363636</v>
      </c>
      <c r="G68" s="69"/>
      <c r="H68" s="69">
        <f t="shared" si="44"/>
        <v>1.6157499999999998</v>
      </c>
      <c r="I68" s="69">
        <f t="shared" si="42"/>
        <v>1.42</v>
      </c>
      <c r="J68" s="69">
        <f t="shared" si="42"/>
        <v>1.4797499999999997</v>
      </c>
      <c r="K68" s="69">
        <f t="shared" si="42"/>
        <v>1.5577499999999997</v>
      </c>
      <c r="L68" s="71">
        <f t="shared" si="43"/>
        <v>1.3337954545454547</v>
      </c>
      <c r="M68" s="69"/>
      <c r="N68" s="71">
        <f t="shared" si="41"/>
        <v>1.0600681818181819</v>
      </c>
      <c r="O68" s="69">
        <f t="shared" si="40"/>
        <v>0.7597727272727272</v>
      </c>
      <c r="P68" s="69">
        <f t="shared" si="40"/>
        <v>0.7730681818181817</v>
      </c>
      <c r="Q68" s="69"/>
      <c r="R68" s="69">
        <f t="shared" si="39"/>
        <v>0.46781818181818174</v>
      </c>
      <c r="S68" s="69">
        <f t="shared" si="39"/>
        <v>0.47279545454545446</v>
      </c>
      <c r="T68" s="69">
        <f t="shared" si="37"/>
        <v>-0.01</v>
      </c>
      <c r="U68" s="69">
        <f t="shared" si="37"/>
        <v>-0.01</v>
      </c>
      <c r="V68" s="69">
        <f t="shared" si="53"/>
        <v>-0.5051807228915662</v>
      </c>
      <c r="W68" s="69">
        <f t="shared" si="53"/>
        <v>-0.5051807228915662</v>
      </c>
      <c r="X68" s="69">
        <f t="shared" si="53"/>
        <v>-0.5051807228915662</v>
      </c>
      <c r="Y68" s="69">
        <f t="shared" si="53"/>
        <v>-0.5051807228915662</v>
      </c>
      <c r="Z68" s="80">
        <f>AA68*$AD$79</f>
        <v>-0.4951807228915662</v>
      </c>
      <c r="AA68" s="54">
        <v>0.03614457831325301</v>
      </c>
      <c r="AB68" s="47">
        <f aca="true" t="shared" si="54" ref="AB68:AB78">AB67-($AB$67-$AB$79)*AC68</f>
        <v>1.5790625</v>
      </c>
      <c r="AC68" s="48">
        <v>0.03125</v>
      </c>
    </row>
    <row r="69" spans="1:29" ht="15">
      <c r="A69" s="68">
        <f t="shared" si="30"/>
        <v>42302.33333333341</v>
      </c>
      <c r="B69" s="69">
        <f t="shared" si="49"/>
        <v>0.4806818181818181</v>
      </c>
      <c r="C69" s="69">
        <f t="shared" si="50"/>
        <v>0.9950909090909091</v>
      </c>
      <c r="D69" s="69">
        <f t="shared" si="47"/>
        <v>1.2622499999999997</v>
      </c>
      <c r="E69" s="69">
        <f t="shared" si="46"/>
        <v>1.536045454545454</v>
      </c>
      <c r="F69" s="69">
        <f t="shared" si="48"/>
        <v>1.567613636363636</v>
      </c>
      <c r="G69" s="69"/>
      <c r="H69" s="69">
        <f t="shared" si="44"/>
        <v>1.36025</v>
      </c>
      <c r="I69" s="69">
        <f t="shared" si="42"/>
        <v>1.1545454545454545</v>
      </c>
      <c r="J69" s="69">
        <f t="shared" si="42"/>
        <v>1.2043409090909092</v>
      </c>
      <c r="K69" s="69">
        <f t="shared" si="42"/>
        <v>1.2690681818181817</v>
      </c>
      <c r="L69" s="71">
        <f t="shared" si="43"/>
        <v>1.0318409090909093</v>
      </c>
      <c r="M69" s="69"/>
      <c r="N69" s="71">
        <f t="shared" si="41"/>
        <v>0.7514772727272727</v>
      </c>
      <c r="O69" s="69">
        <f t="shared" si="40"/>
        <v>0.4478636363636363</v>
      </c>
      <c r="P69" s="69">
        <f t="shared" si="40"/>
        <v>0.457840909090909</v>
      </c>
      <c r="Q69" s="69"/>
      <c r="R69" s="69">
        <f t="shared" si="39"/>
        <v>-0.01</v>
      </c>
      <c r="S69" s="69">
        <f t="shared" si="39"/>
        <v>-0.01</v>
      </c>
      <c r="T69" s="69">
        <f t="shared" si="37"/>
        <v>-0.4952771084337349</v>
      </c>
      <c r="U69" s="69">
        <f t="shared" si="37"/>
        <v>-0.5051807228915662</v>
      </c>
      <c r="V69" s="69">
        <f t="shared" si="53"/>
        <v>-0.835301204819277</v>
      </c>
      <c r="W69" s="69">
        <f t="shared" si="53"/>
        <v>-0.835301204819277</v>
      </c>
      <c r="X69" s="69">
        <f t="shared" si="53"/>
        <v>-0.835301204819277</v>
      </c>
      <c r="Y69" s="69">
        <f t="shared" si="53"/>
        <v>-0.835301204819277</v>
      </c>
      <c r="Z69" s="77">
        <f aca="true" t="shared" si="55" ref="Z69:Z79">AA69*$AD$79</f>
        <v>-0.825301204819277</v>
      </c>
      <c r="AA69" s="55">
        <v>0.060240963855421686</v>
      </c>
      <c r="AB69" s="49">
        <f t="shared" si="54"/>
        <v>1.5108333333333333</v>
      </c>
      <c r="AC69" s="51">
        <v>0.052083333333333336</v>
      </c>
    </row>
    <row r="70" spans="1:29" ht="15">
      <c r="A70" s="68">
        <f t="shared" si="30"/>
        <v>42302.354166666744</v>
      </c>
      <c r="B70" s="69">
        <f t="shared" si="49"/>
        <v>0.7129545454545454</v>
      </c>
      <c r="C70" s="69">
        <f t="shared" si="50"/>
        <v>1.2339999999999998</v>
      </c>
      <c r="D70" s="69">
        <f t="shared" si="47"/>
        <v>1.5044772727272722</v>
      </c>
      <c r="E70" s="69">
        <f t="shared" si="46"/>
        <v>1.536045454545454</v>
      </c>
      <c r="F70" s="69">
        <f t="shared" si="48"/>
        <v>1.3187499999999999</v>
      </c>
      <c r="G70" s="69"/>
      <c r="H70" s="69">
        <f t="shared" si="44"/>
        <v>1.1047500000000001</v>
      </c>
      <c r="I70" s="69">
        <f t="shared" si="42"/>
        <v>0.8890909090909092</v>
      </c>
      <c r="J70" s="69">
        <f t="shared" si="42"/>
        <v>0.9289318181818181</v>
      </c>
      <c r="K70" s="69">
        <f t="shared" si="42"/>
        <v>0.9803863636363637</v>
      </c>
      <c r="L70" s="71">
        <f t="shared" si="43"/>
        <v>0.7298863636363636</v>
      </c>
      <c r="M70" s="69"/>
      <c r="N70" s="71">
        <f t="shared" si="41"/>
        <v>0.4428863636363636</v>
      </c>
      <c r="O70" s="69">
        <f t="shared" si="40"/>
        <v>-0.02</v>
      </c>
      <c r="P70" s="69">
        <f t="shared" si="40"/>
        <v>-0.015</v>
      </c>
      <c r="Q70" s="69"/>
      <c r="R70" s="69">
        <f t="shared" si="39"/>
        <v>-0.48537349397590357</v>
      </c>
      <c r="S70" s="69">
        <f t="shared" si="39"/>
        <v>-0.49032530120481926</v>
      </c>
      <c r="T70" s="69">
        <f t="shared" si="37"/>
        <v>-0.8187951807228915</v>
      </c>
      <c r="U70" s="69">
        <f t="shared" si="37"/>
        <v>-0.835301204819277</v>
      </c>
      <c r="V70" s="69">
        <f t="shared" si="53"/>
        <v>-1.165421686746988</v>
      </c>
      <c r="W70" s="69">
        <f t="shared" si="53"/>
        <v>-1.165421686746988</v>
      </c>
      <c r="X70" s="69">
        <f t="shared" si="53"/>
        <v>-1.165421686746988</v>
      </c>
      <c r="Y70" s="69">
        <f t="shared" si="53"/>
        <v>-1.165421686746988</v>
      </c>
      <c r="Z70" s="77">
        <f t="shared" si="55"/>
        <v>-1.155421686746988</v>
      </c>
      <c r="AA70" s="55">
        <v>0.08433734939759037</v>
      </c>
      <c r="AB70" s="49">
        <f t="shared" si="54"/>
        <v>1.4153125</v>
      </c>
      <c r="AC70" s="51">
        <v>0.07291666666666667</v>
      </c>
    </row>
    <row r="71" spans="1:29" ht="15">
      <c r="A71" s="68">
        <f t="shared" si="30"/>
        <v>42302.37500000008</v>
      </c>
      <c r="B71" s="69">
        <f t="shared" si="49"/>
        <v>0.9452272727272727</v>
      </c>
      <c r="C71" s="69">
        <f t="shared" si="50"/>
        <v>1.4729090909090905</v>
      </c>
      <c r="D71" s="69">
        <f t="shared" si="47"/>
        <v>1.5044772727272722</v>
      </c>
      <c r="E71" s="69">
        <f t="shared" si="46"/>
        <v>1.2904999999999998</v>
      </c>
      <c r="F71" s="69">
        <f t="shared" si="48"/>
        <v>1.0698863636363636</v>
      </c>
      <c r="G71" s="69"/>
      <c r="H71" s="69">
        <f t="shared" si="44"/>
        <v>0.84925</v>
      </c>
      <c r="I71" s="69">
        <f t="shared" si="42"/>
        <v>0.6236363636363635</v>
      </c>
      <c r="J71" s="69">
        <f t="shared" si="42"/>
        <v>0.6535227272727272</v>
      </c>
      <c r="K71" s="69">
        <f t="shared" si="42"/>
        <v>0.6917045454545454</v>
      </c>
      <c r="L71" s="71">
        <f t="shared" si="43"/>
        <v>0.42793181818181814</v>
      </c>
      <c r="M71" s="69"/>
      <c r="N71" s="71">
        <f t="shared" si="41"/>
        <v>-0.02</v>
      </c>
      <c r="O71" s="69">
        <f t="shared" si="40"/>
        <v>-0.48546987951807224</v>
      </c>
      <c r="P71" s="69">
        <f t="shared" si="40"/>
        <v>-0.48542168674698793</v>
      </c>
      <c r="Q71" s="69"/>
      <c r="R71" s="69">
        <f t="shared" si="39"/>
        <v>-0.8022891566265059</v>
      </c>
      <c r="S71" s="69">
        <f t="shared" si="39"/>
        <v>-0.8105421686746987</v>
      </c>
      <c r="T71" s="69">
        <f t="shared" si="37"/>
        <v>-1.1423132530120481</v>
      </c>
      <c r="U71" s="69">
        <f t="shared" si="37"/>
        <v>-1.165421686746988</v>
      </c>
      <c r="V71" s="69">
        <f t="shared" si="53"/>
        <v>-1.4955421686746988</v>
      </c>
      <c r="W71" s="69">
        <f t="shared" si="53"/>
        <v>-1.4955421686746988</v>
      </c>
      <c r="X71" s="69">
        <f t="shared" si="53"/>
        <v>-1.4955421686746988</v>
      </c>
      <c r="Y71" s="69">
        <f t="shared" si="53"/>
        <v>-1.4955421686746988</v>
      </c>
      <c r="Z71" s="77">
        <f t="shared" si="55"/>
        <v>-1.4855421686746988</v>
      </c>
      <c r="AA71" s="55">
        <v>0.10843373493975904</v>
      </c>
      <c r="AB71" s="49">
        <f t="shared" si="54"/>
        <v>1.2925</v>
      </c>
      <c r="AC71" s="51">
        <v>0.09375</v>
      </c>
    </row>
    <row r="72" spans="1:29" ht="15">
      <c r="A72" s="68">
        <f t="shared" si="30"/>
        <v>42302.395833333416</v>
      </c>
      <c r="B72" s="69">
        <f t="shared" si="49"/>
        <v>1.1774999999999995</v>
      </c>
      <c r="C72" s="69">
        <f t="shared" si="50"/>
        <v>1.4729090909090905</v>
      </c>
      <c r="D72" s="69">
        <f t="shared" si="47"/>
        <v>1.2622499999999997</v>
      </c>
      <c r="E72" s="69">
        <f t="shared" si="46"/>
        <v>1.0449545454545455</v>
      </c>
      <c r="F72" s="69">
        <f t="shared" si="48"/>
        <v>0.8210227272727273</v>
      </c>
      <c r="G72" s="69"/>
      <c r="H72" s="69">
        <f t="shared" si="44"/>
        <v>0.5937499999999999</v>
      </c>
      <c r="I72" s="69">
        <f t="shared" si="42"/>
        <v>0.3581818181818182</v>
      </c>
      <c r="J72" s="69">
        <f t="shared" si="42"/>
        <v>0.3781136363636363</v>
      </c>
      <c r="K72" s="69">
        <f t="shared" si="42"/>
        <v>0.40302272727272725</v>
      </c>
      <c r="L72" s="71">
        <f t="shared" si="43"/>
        <v>-0.025</v>
      </c>
      <c r="M72" s="69"/>
      <c r="N72" s="71">
        <f t="shared" si="41"/>
        <v>-0.4805180722891566</v>
      </c>
      <c r="O72" s="69">
        <f t="shared" si="40"/>
        <v>-0.7957831325301205</v>
      </c>
      <c r="P72" s="69">
        <f t="shared" si="40"/>
        <v>-0.7990361445783132</v>
      </c>
      <c r="Q72" s="69"/>
      <c r="R72" s="69">
        <f t="shared" si="39"/>
        <v>-1.1192048192771085</v>
      </c>
      <c r="S72" s="69">
        <f t="shared" si="39"/>
        <v>-1.1307590361445783</v>
      </c>
      <c r="T72" s="69">
        <f t="shared" si="37"/>
        <v>-1.4658313253012047</v>
      </c>
      <c r="U72" s="69">
        <f t="shared" si="37"/>
        <v>-1.4955421686746988</v>
      </c>
      <c r="V72" s="69">
        <f t="shared" si="53"/>
        <v>-1.8256626506024094</v>
      </c>
      <c r="W72" s="69">
        <f t="shared" si="53"/>
        <v>-1.8256626506024094</v>
      </c>
      <c r="X72" s="69">
        <f t="shared" si="53"/>
        <v>-1.8256626506024094</v>
      </c>
      <c r="Y72" s="69">
        <f t="shared" si="53"/>
        <v>-1.8256626506024094</v>
      </c>
      <c r="Z72" s="77">
        <f t="shared" si="55"/>
        <v>-1.8156626506024094</v>
      </c>
      <c r="AA72" s="55">
        <v>0.1325301204819277</v>
      </c>
      <c r="AB72" s="49">
        <f t="shared" si="54"/>
        <v>1.1423958333333333</v>
      </c>
      <c r="AC72" s="51">
        <v>0.11458333333333333</v>
      </c>
    </row>
    <row r="73" spans="1:29" ht="15">
      <c r="A73" s="68">
        <f t="shared" si="30"/>
        <v>42302.41666666675</v>
      </c>
      <c r="B73" s="69">
        <f t="shared" si="49"/>
        <v>1.4097727272727267</v>
      </c>
      <c r="C73" s="69">
        <f t="shared" si="50"/>
        <v>1.2339999999999998</v>
      </c>
      <c r="D73" s="69">
        <f t="shared" si="47"/>
        <v>1.0200227272727271</v>
      </c>
      <c r="E73" s="69">
        <f t="shared" si="46"/>
        <v>0.799409090909091</v>
      </c>
      <c r="F73" s="69">
        <f t="shared" si="48"/>
        <v>0.5721590909090908</v>
      </c>
      <c r="G73" s="69"/>
      <c r="H73" s="69">
        <f t="shared" si="44"/>
        <v>0.33825</v>
      </c>
      <c r="I73" s="69">
        <f t="shared" si="42"/>
        <v>-0.04</v>
      </c>
      <c r="J73" s="69">
        <f t="shared" si="42"/>
        <v>-0.034999999999999996</v>
      </c>
      <c r="K73" s="69">
        <f t="shared" si="42"/>
        <v>-0.03</v>
      </c>
      <c r="L73" s="71">
        <f t="shared" si="43"/>
        <v>-0.4756144578313253</v>
      </c>
      <c r="M73" s="69"/>
      <c r="N73" s="71">
        <f t="shared" si="41"/>
        <v>-0.7875301204819277</v>
      </c>
      <c r="O73" s="69">
        <f t="shared" si="40"/>
        <v>-1.1060963855421686</v>
      </c>
      <c r="P73" s="69">
        <f t="shared" si="40"/>
        <v>-1.1126506024096385</v>
      </c>
      <c r="Q73" s="69"/>
      <c r="R73" s="69">
        <f t="shared" si="39"/>
        <v>-1.4361204819277107</v>
      </c>
      <c r="S73" s="69">
        <f t="shared" si="39"/>
        <v>-1.4509759036144578</v>
      </c>
      <c r="T73" s="69">
        <f t="shared" si="37"/>
        <v>-1.7893493975903612</v>
      </c>
      <c r="U73" s="69">
        <f t="shared" si="37"/>
        <v>-1.8256626506024094</v>
      </c>
      <c r="V73" s="69">
        <f t="shared" si="53"/>
        <v>-2.1557831325301198</v>
      </c>
      <c r="W73" s="69">
        <f t="shared" si="53"/>
        <v>-2.1557831325301198</v>
      </c>
      <c r="X73" s="69">
        <f t="shared" si="53"/>
        <v>-2.1557831325301198</v>
      </c>
      <c r="Y73" s="69">
        <f t="shared" si="53"/>
        <v>-2.1557831325301198</v>
      </c>
      <c r="Z73" s="77">
        <f t="shared" si="55"/>
        <v>-2.14578313253012</v>
      </c>
      <c r="AA73" s="55">
        <v>0.15662650602409636</v>
      </c>
      <c r="AB73" s="49">
        <f t="shared" si="54"/>
        <v>0.965</v>
      </c>
      <c r="AC73" s="51">
        <v>0.13541666666666666</v>
      </c>
    </row>
    <row r="74" spans="1:29" ht="15">
      <c r="A74" s="68">
        <f t="shared" si="30"/>
        <v>42302.43750000009</v>
      </c>
      <c r="B74" s="69">
        <f t="shared" si="49"/>
        <v>1.4097727272727267</v>
      </c>
      <c r="C74" s="69">
        <f t="shared" si="50"/>
        <v>0.9950909090909091</v>
      </c>
      <c r="D74" s="69">
        <f t="shared" si="47"/>
        <v>0.7777954545454546</v>
      </c>
      <c r="E74" s="69">
        <f aca="true" t="shared" si="56" ref="E74:E79">$Z65*E$36+E$37</f>
        <v>0.5538636363636362</v>
      </c>
      <c r="F74" s="69">
        <f t="shared" si="48"/>
        <v>0.32329545454545455</v>
      </c>
      <c r="G74" s="69"/>
      <c r="H74" s="69">
        <f t="shared" si="44"/>
        <v>-0.045</v>
      </c>
      <c r="I74" s="69">
        <f t="shared" si="42"/>
        <v>-0.436144578313253</v>
      </c>
      <c r="J74" s="69">
        <f t="shared" si="42"/>
        <v>-0.44599999999999995</v>
      </c>
      <c r="K74" s="69">
        <f t="shared" si="42"/>
        <v>-0.4608072289156626</v>
      </c>
      <c r="L74" s="71">
        <f t="shared" si="43"/>
        <v>-0.7760240963855422</v>
      </c>
      <c r="M74" s="69"/>
      <c r="N74" s="71">
        <f t="shared" si="41"/>
        <v>-1.094542168674699</v>
      </c>
      <c r="O74" s="69">
        <f t="shared" si="40"/>
        <v>-1.4164096385542169</v>
      </c>
      <c r="P74" s="69">
        <f t="shared" si="40"/>
        <v>-1.4262650602409637</v>
      </c>
      <c r="Q74" s="69"/>
      <c r="R74" s="69">
        <f t="shared" si="39"/>
        <v>-1.753036144578313</v>
      </c>
      <c r="S74" s="69">
        <f t="shared" si="39"/>
        <v>-1.7711927710843371</v>
      </c>
      <c r="T74" s="69">
        <f t="shared" si="37"/>
        <v>-2.112867469879517</v>
      </c>
      <c r="U74" s="69">
        <f t="shared" si="37"/>
        <v>-2.1557831325301198</v>
      </c>
      <c r="V74" s="69">
        <f t="shared" si="53"/>
        <v>-1.8256626506024094</v>
      </c>
      <c r="W74" s="69">
        <f t="shared" si="53"/>
        <v>-1.8256626506024094</v>
      </c>
      <c r="X74" s="69">
        <f t="shared" si="53"/>
        <v>-1.8256626506024094</v>
      </c>
      <c r="Y74" s="69">
        <f t="shared" si="53"/>
        <v>-1.8256626506024094</v>
      </c>
      <c r="Z74" s="77">
        <f t="shared" si="55"/>
        <v>-1.8156626506024094</v>
      </c>
      <c r="AA74" s="55">
        <v>0.1325301204819277</v>
      </c>
      <c r="AB74" s="49">
        <f t="shared" si="54"/>
        <v>0.7876041666666667</v>
      </c>
      <c r="AC74" s="51">
        <v>0.13541666666666666</v>
      </c>
    </row>
    <row r="75" spans="1:29" ht="15">
      <c r="A75" s="68">
        <f t="shared" si="30"/>
        <v>42302.45833333342</v>
      </c>
      <c r="B75" s="69">
        <f t="shared" si="49"/>
        <v>1.1774999999999995</v>
      </c>
      <c r="C75" s="69">
        <f t="shared" si="50"/>
        <v>0.7561818181818182</v>
      </c>
      <c r="D75" s="69">
        <f t="shared" si="47"/>
        <v>0.5355681818181818</v>
      </c>
      <c r="E75" s="69">
        <f t="shared" si="56"/>
        <v>0.30831818181818177</v>
      </c>
      <c r="F75" s="69">
        <f t="shared" si="48"/>
        <v>-0.05</v>
      </c>
      <c r="G75" s="69"/>
      <c r="H75" s="69">
        <f t="shared" si="44"/>
        <v>-0.42628915662650596</v>
      </c>
      <c r="I75" s="69">
        <f t="shared" si="42"/>
        <v>-0.7002409638554217</v>
      </c>
      <c r="J75" s="69">
        <f t="shared" si="42"/>
        <v>-0.72</v>
      </c>
      <c r="K75" s="69">
        <f t="shared" si="42"/>
        <v>-0.748012048192771</v>
      </c>
      <c r="L75" s="71">
        <f t="shared" si="43"/>
        <v>-1.076433734939759</v>
      </c>
      <c r="M75" s="69"/>
      <c r="N75" s="71">
        <f t="shared" si="41"/>
        <v>-1.40155421686747</v>
      </c>
      <c r="O75" s="69">
        <f t="shared" si="40"/>
        <v>-1.7267228915662647</v>
      </c>
      <c r="P75" s="69">
        <f t="shared" si="40"/>
        <v>-1.7398795180722888</v>
      </c>
      <c r="Q75" s="69"/>
      <c r="R75" s="69">
        <f t="shared" si="39"/>
        <v>-2.069951807228915</v>
      </c>
      <c r="S75" s="69">
        <f t="shared" si="39"/>
        <v>-2.0914096385542162</v>
      </c>
      <c r="T75" s="69">
        <f t="shared" si="37"/>
        <v>-1.7893493975903612</v>
      </c>
      <c r="U75" s="69">
        <f t="shared" si="37"/>
        <v>-1.8256626506024094</v>
      </c>
      <c r="V75" s="69">
        <f t="shared" si="53"/>
        <v>-1.4955421686746988</v>
      </c>
      <c r="W75" s="69">
        <f t="shared" si="53"/>
        <v>-1.4955421686746988</v>
      </c>
      <c r="X75" s="69">
        <f t="shared" si="53"/>
        <v>-1.4955421686746988</v>
      </c>
      <c r="Y75" s="69">
        <f t="shared" si="53"/>
        <v>-1.4955421686746988</v>
      </c>
      <c r="Z75" s="77">
        <f t="shared" si="55"/>
        <v>-1.4855421686746988</v>
      </c>
      <c r="AA75" s="55">
        <v>0.10843373493975904</v>
      </c>
      <c r="AB75" s="49">
        <f t="shared" si="54"/>
        <v>0.6375</v>
      </c>
      <c r="AC75" s="51">
        <v>0.11458333333333333</v>
      </c>
    </row>
    <row r="76" spans="1:29" ht="15">
      <c r="A76" s="68">
        <f t="shared" si="30"/>
        <v>42302.47916666676</v>
      </c>
      <c r="B76" s="69">
        <f t="shared" si="49"/>
        <v>0.9452272727272727</v>
      </c>
      <c r="C76" s="69">
        <f t="shared" si="50"/>
        <v>0.5172727272727272</v>
      </c>
      <c r="D76" s="69">
        <f t="shared" si="47"/>
        <v>0.29334090909090904</v>
      </c>
      <c r="E76" s="69">
        <f t="shared" si="56"/>
        <v>-0.06</v>
      </c>
      <c r="F76" s="69">
        <f t="shared" si="48"/>
        <v>-0.4213855421686747</v>
      </c>
      <c r="G76" s="69"/>
      <c r="H76" s="69">
        <f t="shared" si="44"/>
        <v>-0.6804819277108434</v>
      </c>
      <c r="I76" s="69">
        <f t="shared" si="42"/>
        <v>-0.9643373493975904</v>
      </c>
      <c r="J76" s="69">
        <f t="shared" si="42"/>
        <v>-0.994</v>
      </c>
      <c r="K76" s="69">
        <f t="shared" si="42"/>
        <v>-1.0352168674698796</v>
      </c>
      <c r="L76" s="71">
        <f t="shared" si="43"/>
        <v>-1.3768433734939758</v>
      </c>
      <c r="M76" s="69"/>
      <c r="N76" s="71">
        <f t="shared" si="41"/>
        <v>-1.708566265060241</v>
      </c>
      <c r="O76" s="69">
        <f t="shared" si="40"/>
        <v>-2.0370361445783125</v>
      </c>
      <c r="P76" s="69">
        <f t="shared" si="40"/>
        <v>-2.053493975903614</v>
      </c>
      <c r="Q76" s="69"/>
      <c r="R76" s="69">
        <f t="shared" si="39"/>
        <v>-1.753036144578313</v>
      </c>
      <c r="S76" s="69">
        <f t="shared" si="39"/>
        <v>-1.7711927710843371</v>
      </c>
      <c r="T76" s="69">
        <f t="shared" si="37"/>
        <v>-1.4658313253012047</v>
      </c>
      <c r="U76" s="69">
        <f t="shared" si="37"/>
        <v>-1.4955421686746988</v>
      </c>
      <c r="V76" s="69">
        <f t="shared" si="53"/>
        <v>-1.165421686746988</v>
      </c>
      <c r="W76" s="69">
        <f t="shared" si="53"/>
        <v>-1.165421686746988</v>
      </c>
      <c r="X76" s="69">
        <f t="shared" si="53"/>
        <v>-1.165421686746988</v>
      </c>
      <c r="Y76" s="69">
        <f t="shared" si="53"/>
        <v>-1.165421686746988</v>
      </c>
      <c r="Z76" s="77">
        <f t="shared" si="55"/>
        <v>-1.155421686746988</v>
      </c>
      <c r="AA76" s="55">
        <v>0.08433734939759037</v>
      </c>
      <c r="AB76" s="49">
        <f t="shared" si="54"/>
        <v>0.5146875</v>
      </c>
      <c r="AC76" s="51">
        <v>0.09375</v>
      </c>
    </row>
    <row r="77" spans="1:29" ht="15">
      <c r="A77" s="68">
        <f t="shared" si="30"/>
        <v>42302.500000000095</v>
      </c>
      <c r="B77" s="69">
        <f t="shared" si="49"/>
        <v>0.7129545454545454</v>
      </c>
      <c r="C77" s="69">
        <f t="shared" si="50"/>
        <v>0.2783636363636363</v>
      </c>
      <c r="D77" s="69">
        <f t="shared" si="47"/>
        <v>-0.06999999999999999</v>
      </c>
      <c r="E77" s="69">
        <f t="shared" si="56"/>
        <v>-0.426433734939759</v>
      </c>
      <c r="F77" s="69">
        <f t="shared" si="48"/>
        <v>-0.6689759036144578</v>
      </c>
      <c r="G77" s="69"/>
      <c r="H77" s="69">
        <f t="shared" si="44"/>
        <v>-0.9346746987951808</v>
      </c>
      <c r="I77" s="69">
        <f t="shared" si="42"/>
        <v>-1.2284337349397592</v>
      </c>
      <c r="J77" s="69">
        <f t="shared" si="42"/>
        <v>-1.2679999999999998</v>
      </c>
      <c r="K77" s="69">
        <f t="shared" si="42"/>
        <v>-1.322421686746988</v>
      </c>
      <c r="L77" s="71">
        <f t="shared" si="43"/>
        <v>-1.6772530120481925</v>
      </c>
      <c r="M77" s="69"/>
      <c r="N77" s="71">
        <f t="shared" si="41"/>
        <v>-2.0155783132530116</v>
      </c>
      <c r="O77" s="69">
        <f t="shared" si="40"/>
        <v>-1.7267228915662647</v>
      </c>
      <c r="P77" s="69">
        <f t="shared" si="40"/>
        <v>-1.7398795180722888</v>
      </c>
      <c r="Q77" s="69"/>
      <c r="R77" s="69">
        <f t="shared" si="39"/>
        <v>-1.4361204819277107</v>
      </c>
      <c r="S77" s="69">
        <f t="shared" si="39"/>
        <v>-1.4509759036144578</v>
      </c>
      <c r="T77" s="69">
        <f t="shared" si="37"/>
        <v>-1.1423132530120481</v>
      </c>
      <c r="U77" s="69">
        <f t="shared" si="37"/>
        <v>-1.165421686746988</v>
      </c>
      <c r="V77" s="69">
        <f t="shared" si="53"/>
        <v>-0.835301204819277</v>
      </c>
      <c r="W77" s="69">
        <f t="shared" si="53"/>
        <v>-0.835301204819277</v>
      </c>
      <c r="X77" s="69">
        <f t="shared" si="53"/>
        <v>-0.835301204819277</v>
      </c>
      <c r="Y77" s="69">
        <f t="shared" si="53"/>
        <v>-0.835301204819277</v>
      </c>
      <c r="Z77" s="77">
        <f t="shared" si="55"/>
        <v>-0.825301204819277</v>
      </c>
      <c r="AA77" s="55">
        <v>0.060240963855421686</v>
      </c>
      <c r="AB77" s="49">
        <f t="shared" si="54"/>
        <v>0.41916666666666663</v>
      </c>
      <c r="AC77" s="51">
        <v>0.07291666666666667</v>
      </c>
    </row>
    <row r="78" spans="1:29" ht="15">
      <c r="A78" s="68">
        <f t="shared" si="30"/>
        <v>42302.52083333343</v>
      </c>
      <c r="B78" s="69">
        <f t="shared" si="49"/>
        <v>0.4806818181818181</v>
      </c>
      <c r="C78" s="69">
        <f t="shared" si="50"/>
        <v>-0.08</v>
      </c>
      <c r="D78" s="69">
        <f t="shared" si="47"/>
        <v>-0.43148192771084337</v>
      </c>
      <c r="E78" s="69">
        <f t="shared" si="56"/>
        <v>-0.6707228915662651</v>
      </c>
      <c r="F78" s="69">
        <f t="shared" si="48"/>
        <v>-0.9165662650602411</v>
      </c>
      <c r="G78" s="69"/>
      <c r="H78" s="69">
        <f t="shared" si="44"/>
        <v>-1.188867469879518</v>
      </c>
      <c r="I78" s="69">
        <f t="shared" si="42"/>
        <v>-1.4925301204819277</v>
      </c>
      <c r="J78" s="69">
        <f t="shared" si="42"/>
        <v>-1.5419999999999996</v>
      </c>
      <c r="K78" s="69">
        <f t="shared" si="42"/>
        <v>-1.6096265060240962</v>
      </c>
      <c r="L78" s="71">
        <f t="shared" si="43"/>
        <v>-1.977662650602409</v>
      </c>
      <c r="M78" s="69"/>
      <c r="N78" s="71">
        <f t="shared" si="41"/>
        <v>-1.708566265060241</v>
      </c>
      <c r="O78" s="69">
        <f t="shared" si="40"/>
        <v>-1.4164096385542169</v>
      </c>
      <c r="P78" s="69">
        <f t="shared" si="40"/>
        <v>-1.4262650602409637</v>
      </c>
      <c r="Q78" s="69"/>
      <c r="R78" s="69">
        <f t="shared" si="39"/>
        <v>-1.1192048192771085</v>
      </c>
      <c r="S78" s="69">
        <f t="shared" si="39"/>
        <v>-1.1307590361445783</v>
      </c>
      <c r="T78" s="69">
        <f t="shared" si="37"/>
        <v>-0.8187951807228915</v>
      </c>
      <c r="U78" s="69">
        <f t="shared" si="37"/>
        <v>-0.835301204819277</v>
      </c>
      <c r="V78" s="69">
        <f t="shared" si="53"/>
        <v>-0.5051807228915662</v>
      </c>
      <c r="W78" s="69">
        <f t="shared" si="53"/>
        <v>-0.5051807228915662</v>
      </c>
      <c r="X78" s="69">
        <f t="shared" si="53"/>
        <v>-0.5051807228915662</v>
      </c>
      <c r="Y78" s="69">
        <f t="shared" si="53"/>
        <v>-0.5051807228915662</v>
      </c>
      <c r="Z78" s="79">
        <f t="shared" si="55"/>
        <v>-0.4951807228915662</v>
      </c>
      <c r="AA78" s="56">
        <v>0.03614457831325301</v>
      </c>
      <c r="AB78" s="49">
        <f t="shared" si="54"/>
        <v>0.35093749999999996</v>
      </c>
      <c r="AC78" s="51">
        <v>0.052083333333333336</v>
      </c>
    </row>
    <row r="79" spans="1:31" ht="15">
      <c r="A79" s="73">
        <f t="shared" si="30"/>
        <v>42302.541666666766</v>
      </c>
      <c r="B79" s="74">
        <f t="shared" si="49"/>
        <v>0.24840909090909083</v>
      </c>
      <c r="C79" s="74">
        <f t="shared" si="50"/>
        <v>-0.4365301204819277</v>
      </c>
      <c r="D79" s="74">
        <f t="shared" si="47"/>
        <v>-0.6724698795180721</v>
      </c>
      <c r="E79" s="74">
        <f t="shared" si="56"/>
        <v>-0.915012048192771</v>
      </c>
      <c r="F79" s="74">
        <f t="shared" si="48"/>
        <v>-1.1641566265060241</v>
      </c>
      <c r="G79" s="74"/>
      <c r="H79" s="74">
        <f t="shared" si="44"/>
        <v>-1.443060240963855</v>
      </c>
      <c r="I79" s="74">
        <f t="shared" si="42"/>
        <v>-1.7566265060240962</v>
      </c>
      <c r="J79" s="74">
        <f t="shared" si="42"/>
        <v>-1.8159999999999994</v>
      </c>
      <c r="K79" s="74">
        <f t="shared" si="42"/>
        <v>-1.8968313253012044</v>
      </c>
      <c r="L79" s="75">
        <f t="shared" si="43"/>
        <v>-1.6772530120481925</v>
      </c>
      <c r="M79" s="74"/>
      <c r="N79" s="75">
        <f t="shared" si="41"/>
        <v>-1.40155421686747</v>
      </c>
      <c r="O79" s="74">
        <f t="shared" si="40"/>
        <v>-1.1060963855421686</v>
      </c>
      <c r="P79" s="74">
        <f t="shared" si="40"/>
        <v>-1.1126506024096385</v>
      </c>
      <c r="Q79" s="74"/>
      <c r="R79" s="74">
        <f t="shared" si="39"/>
        <v>-0.8022891566265059</v>
      </c>
      <c r="S79" s="74">
        <f t="shared" si="39"/>
        <v>-0.8105421686746987</v>
      </c>
      <c r="T79" s="74">
        <f t="shared" si="37"/>
        <v>-0.4952771084337349</v>
      </c>
      <c r="U79" s="74">
        <f t="shared" si="37"/>
        <v>-0.5051807228915662</v>
      </c>
      <c r="V79" s="74">
        <f t="shared" si="53"/>
        <v>-0.01</v>
      </c>
      <c r="W79" s="74">
        <f t="shared" si="53"/>
        <v>-0.01</v>
      </c>
      <c r="X79" s="74">
        <f t="shared" si="53"/>
        <v>-0.01</v>
      </c>
      <c r="Y79" s="74">
        <f t="shared" si="53"/>
        <v>-0.01</v>
      </c>
      <c r="Z79" s="79">
        <f t="shared" si="55"/>
        <v>0</v>
      </c>
      <c r="AA79" s="76">
        <v>0</v>
      </c>
      <c r="AB79" s="58">
        <v>0.31</v>
      </c>
      <c r="AC79" s="53">
        <v>0.03125</v>
      </c>
      <c r="AD79" s="38">
        <v>-13.7</v>
      </c>
      <c r="AE79" s="36"/>
    </row>
    <row r="82" ht="15"/>
    <row r="83" ht="15"/>
    <row r="84" ht="15"/>
  </sheetData>
  <sheetProtection/>
  <printOptions/>
  <pageMargins left="0.19" right="0.16" top="0.2362204724409449" bottom="0.4330708661417323" header="0.15748031496062992" footer="0.31496062992125984"/>
  <pageSetup fitToHeight="1" fitToWidth="1" horizontalDpi="600" verticalDpi="600" orientation="landscape" paperSize="9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1"/>
  <sheetViews>
    <sheetView showGridLines="0" zoomScale="80" zoomScaleNormal="80"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17" right="0.16" top="0.35" bottom="0.38" header="0.31496062992125984" footer="0.31496062992125984"/>
  <pageSetup fitToHeight="1" fitToWidth="1" horizontalDpi="600" verticalDpi="6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4"/>
  <sheetViews>
    <sheetView zoomScalePageLayoutView="0" workbookViewId="0" topLeftCell="A1">
      <selection activeCell="E28" sqref="E28"/>
    </sheetView>
  </sheetViews>
  <sheetFormatPr defaultColWidth="9.140625" defaultRowHeight="15"/>
  <sheetData>
    <row r="2" ht="15">
      <c r="A2" t="s">
        <v>31</v>
      </c>
    </row>
    <row r="4" ht="15.75">
      <c r="A4" s="88" t="s">
        <v>33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W</dc:creator>
  <cp:keywords/>
  <dc:description/>
  <cp:lastModifiedBy>Ian W</cp:lastModifiedBy>
  <cp:lastPrinted>2015-10-08T08:03:20Z</cp:lastPrinted>
  <dcterms:created xsi:type="dcterms:W3CDTF">2015-10-06T03:51:38Z</dcterms:created>
  <dcterms:modified xsi:type="dcterms:W3CDTF">2015-10-15T00:12:55Z</dcterms:modified>
  <cp:category/>
  <cp:version/>
  <cp:contentType/>
  <cp:contentStatus/>
</cp:coreProperties>
</file>